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JHON BEDOYA\Downloads\"/>
    </mc:Choice>
  </mc:AlternateContent>
  <xr:revisionPtr revIDLastSave="0" documentId="13_ncr:1_{0AE4DE3C-4C0A-46E3-AF56-77B4EE275BBD}" xr6:coauthVersionLast="47" xr6:coauthVersionMax="47" xr10:uidLastSave="{00000000-0000-0000-0000-000000000000}"/>
  <bookViews>
    <workbookView xWindow="-120" yWindow="-120" windowWidth="20730" windowHeight="11160" xr2:uid="{00000000-000D-0000-FFFF-FFFF00000000}"/>
  </bookViews>
  <sheets>
    <sheet name="CONSOLIDADO" sheetId="2" r:id="rId1"/>
  </sheets>
  <definedNames>
    <definedName name="_xlnm._FilterDatabase" localSheetId="0" hidden="1">CONSOLIDADO!$A$4:$U$283</definedName>
  </definedNames>
  <calcPr calcId="181029"/>
</workbook>
</file>

<file path=xl/calcChain.xml><?xml version="1.0" encoding="utf-8"?>
<calcChain xmlns="http://schemas.openxmlformats.org/spreadsheetml/2006/main">
  <c r="T284" i="2" l="1"/>
  <c r="S284" i="2"/>
  <c r="R284" i="2"/>
  <c r="Q284" i="2"/>
  <c r="P284" i="2"/>
  <c r="O284" i="2"/>
  <c r="N284" i="2"/>
  <c r="M284" i="2"/>
  <c r="L284" i="2"/>
  <c r="K284" i="2"/>
  <c r="J284" i="2"/>
  <c r="I284" i="2"/>
  <c r="H284" i="2"/>
  <c r="G284" i="2"/>
  <c r="F284" i="2"/>
  <c r="E284" i="2"/>
  <c r="D284" i="2"/>
  <c r="C284" i="2"/>
  <c r="B284" i="2"/>
  <c r="A284" i="2"/>
  <c r="T283" i="2"/>
  <c r="S283" i="2"/>
  <c r="R283" i="2"/>
  <c r="Q283" i="2"/>
  <c r="P283" i="2"/>
  <c r="O283" i="2"/>
  <c r="N283" i="2"/>
  <c r="M283" i="2"/>
  <c r="L283" i="2"/>
  <c r="K283" i="2"/>
  <c r="J283" i="2"/>
  <c r="I283" i="2"/>
  <c r="H283" i="2"/>
  <c r="G283" i="2"/>
  <c r="F283" i="2"/>
  <c r="E283" i="2"/>
  <c r="D283" i="2"/>
  <c r="C283" i="2"/>
  <c r="B283" i="2"/>
  <c r="A283" i="2"/>
  <c r="T282" i="2"/>
  <c r="S282" i="2"/>
  <c r="R282" i="2"/>
  <c r="Q282" i="2"/>
  <c r="P282" i="2"/>
  <c r="O282" i="2"/>
  <c r="N282" i="2"/>
  <c r="M282" i="2"/>
  <c r="L282" i="2"/>
  <c r="K282" i="2"/>
  <c r="J282" i="2"/>
  <c r="I282" i="2"/>
  <c r="H282" i="2"/>
  <c r="G282" i="2"/>
  <c r="F282" i="2"/>
  <c r="E282" i="2"/>
  <c r="D282" i="2"/>
  <c r="C282" i="2"/>
  <c r="B282" i="2"/>
  <c r="A282" i="2"/>
  <c r="T281" i="2"/>
  <c r="S281" i="2"/>
  <c r="R281" i="2"/>
  <c r="Q281" i="2"/>
  <c r="P281" i="2"/>
  <c r="O281" i="2"/>
  <c r="N281" i="2"/>
  <c r="M281" i="2"/>
  <c r="L281" i="2"/>
  <c r="K281" i="2"/>
  <c r="J281" i="2"/>
  <c r="I281" i="2"/>
  <c r="H281" i="2"/>
  <c r="G281" i="2"/>
  <c r="F281" i="2"/>
  <c r="E281" i="2"/>
  <c r="D281" i="2"/>
  <c r="C281" i="2"/>
  <c r="B281" i="2"/>
  <c r="A281" i="2"/>
  <c r="T280" i="2"/>
  <c r="S280" i="2"/>
  <c r="R280" i="2"/>
  <c r="Q280" i="2"/>
  <c r="P280" i="2"/>
  <c r="N280" i="2"/>
  <c r="M280" i="2"/>
  <c r="L280" i="2"/>
  <c r="K280" i="2"/>
  <c r="J280" i="2"/>
  <c r="I280" i="2"/>
  <c r="H280" i="2"/>
  <c r="G280" i="2"/>
  <c r="F280" i="2"/>
  <c r="E280" i="2"/>
  <c r="D280" i="2"/>
  <c r="C280" i="2"/>
  <c r="B280" i="2"/>
  <c r="A280" i="2"/>
  <c r="T279" i="2"/>
  <c r="S279" i="2"/>
  <c r="R279" i="2"/>
  <c r="Q279" i="2"/>
  <c r="P279" i="2"/>
  <c r="O279" i="2"/>
  <c r="N279" i="2"/>
  <c r="M279" i="2"/>
  <c r="L279" i="2"/>
  <c r="K279" i="2"/>
  <c r="J279" i="2"/>
  <c r="I279" i="2"/>
  <c r="H279" i="2"/>
  <c r="G279" i="2"/>
  <c r="F279" i="2"/>
  <c r="E279" i="2"/>
  <c r="D279" i="2"/>
  <c r="C279" i="2"/>
  <c r="B279" i="2"/>
  <c r="A279" i="2"/>
  <c r="T278" i="2"/>
  <c r="S278" i="2"/>
  <c r="R278" i="2"/>
  <c r="Q278" i="2"/>
  <c r="P278" i="2"/>
  <c r="O278" i="2"/>
  <c r="N278" i="2"/>
  <c r="M278" i="2"/>
  <c r="L278" i="2"/>
  <c r="K278" i="2"/>
  <c r="J278" i="2"/>
  <c r="I278" i="2"/>
  <c r="H278" i="2"/>
  <c r="G278" i="2"/>
  <c r="F278" i="2"/>
  <c r="E278" i="2"/>
  <c r="D278" i="2"/>
  <c r="C278" i="2"/>
  <c r="B278" i="2"/>
  <c r="A278" i="2"/>
  <c r="T277" i="2"/>
  <c r="S277" i="2"/>
  <c r="R277" i="2"/>
  <c r="Q277" i="2"/>
  <c r="P277" i="2"/>
  <c r="O277" i="2"/>
  <c r="N277" i="2"/>
  <c r="M277" i="2"/>
  <c r="L277" i="2"/>
  <c r="K277" i="2"/>
  <c r="J277" i="2"/>
  <c r="I277" i="2"/>
  <c r="H277" i="2"/>
  <c r="G277" i="2"/>
  <c r="F277" i="2"/>
  <c r="E277" i="2"/>
  <c r="D277" i="2"/>
  <c r="C277" i="2"/>
  <c r="B277" i="2"/>
  <c r="A277" i="2"/>
  <c r="T276" i="2"/>
  <c r="S276" i="2"/>
  <c r="R276" i="2"/>
  <c r="Q276" i="2"/>
  <c r="P276" i="2"/>
  <c r="O276" i="2"/>
  <c r="N276" i="2"/>
  <c r="M276" i="2"/>
  <c r="L276" i="2"/>
  <c r="K276" i="2"/>
  <c r="J276" i="2"/>
  <c r="I276" i="2"/>
  <c r="H276" i="2"/>
  <c r="G276" i="2"/>
  <c r="F276" i="2"/>
  <c r="E276" i="2"/>
  <c r="D276" i="2"/>
  <c r="C276" i="2"/>
  <c r="B276" i="2"/>
  <c r="A276" i="2"/>
  <c r="T275" i="2"/>
  <c r="S275" i="2"/>
  <c r="R275" i="2"/>
  <c r="Q275" i="2"/>
  <c r="P275" i="2"/>
  <c r="O275" i="2"/>
  <c r="N275" i="2"/>
  <c r="M275" i="2"/>
  <c r="L275" i="2"/>
  <c r="K275" i="2"/>
  <c r="J275" i="2"/>
  <c r="I275" i="2"/>
  <c r="H275" i="2"/>
  <c r="G275" i="2"/>
  <c r="F275" i="2"/>
  <c r="E275" i="2"/>
  <c r="D275" i="2"/>
  <c r="C275" i="2"/>
  <c r="B275" i="2"/>
  <c r="A275" i="2"/>
  <c r="T274" i="2"/>
  <c r="S274" i="2"/>
  <c r="R274" i="2"/>
  <c r="Q274" i="2"/>
  <c r="P274" i="2"/>
  <c r="O274" i="2"/>
  <c r="N274" i="2"/>
  <c r="M274" i="2"/>
  <c r="L274" i="2"/>
  <c r="K274" i="2"/>
  <c r="J274" i="2"/>
  <c r="I274" i="2"/>
  <c r="H274" i="2"/>
  <c r="G274" i="2"/>
  <c r="F274" i="2"/>
  <c r="E274" i="2"/>
  <c r="D274" i="2"/>
  <c r="C274" i="2"/>
  <c r="B274" i="2"/>
  <c r="A274" i="2"/>
  <c r="T273" i="2"/>
  <c r="S273" i="2"/>
  <c r="R273" i="2"/>
  <c r="Q273" i="2"/>
  <c r="P273" i="2"/>
  <c r="O273" i="2"/>
  <c r="N273" i="2"/>
  <c r="M273" i="2"/>
  <c r="L273" i="2"/>
  <c r="K273" i="2"/>
  <c r="J273" i="2"/>
  <c r="I273" i="2"/>
  <c r="H273" i="2"/>
  <c r="G273" i="2"/>
  <c r="F273" i="2"/>
  <c r="E273" i="2"/>
  <c r="D273" i="2"/>
  <c r="C273" i="2"/>
  <c r="B273" i="2"/>
  <c r="A273" i="2"/>
  <c r="T272" i="2"/>
  <c r="S272" i="2"/>
  <c r="R272" i="2"/>
  <c r="Q272" i="2"/>
  <c r="P272" i="2"/>
  <c r="O272" i="2"/>
  <c r="N272" i="2"/>
  <c r="M272" i="2"/>
  <c r="L272" i="2"/>
  <c r="K272" i="2"/>
  <c r="J272" i="2"/>
  <c r="I272" i="2"/>
  <c r="H272" i="2"/>
  <c r="G272" i="2"/>
  <c r="F272" i="2"/>
  <c r="E272" i="2"/>
  <c r="D272" i="2"/>
  <c r="C272" i="2"/>
  <c r="B272" i="2"/>
  <c r="A272" i="2"/>
  <c r="T271" i="2"/>
  <c r="S271" i="2"/>
  <c r="R271" i="2"/>
  <c r="Q271" i="2"/>
  <c r="P271" i="2"/>
  <c r="O271" i="2"/>
  <c r="N271" i="2"/>
  <c r="M271" i="2"/>
  <c r="L271" i="2"/>
  <c r="K271" i="2"/>
  <c r="J271" i="2"/>
  <c r="I271" i="2"/>
  <c r="H271" i="2"/>
  <c r="G271" i="2"/>
  <c r="F271" i="2"/>
  <c r="E271" i="2"/>
  <c r="D271" i="2"/>
  <c r="C271" i="2"/>
  <c r="B271" i="2"/>
  <c r="A271" i="2"/>
  <c r="T270" i="2"/>
  <c r="S270" i="2"/>
  <c r="R270" i="2"/>
  <c r="Q270" i="2"/>
  <c r="P270" i="2"/>
  <c r="O270" i="2"/>
  <c r="N270" i="2"/>
  <c r="M270" i="2"/>
  <c r="L270" i="2"/>
  <c r="K270" i="2"/>
  <c r="J270" i="2"/>
  <c r="I270" i="2"/>
  <c r="H270" i="2"/>
  <c r="G270" i="2"/>
  <c r="F270" i="2"/>
  <c r="E270" i="2"/>
  <c r="D270" i="2"/>
  <c r="C270" i="2"/>
  <c r="B270" i="2"/>
  <c r="A270" i="2"/>
  <c r="T269" i="2"/>
  <c r="S269" i="2"/>
  <c r="R269" i="2"/>
  <c r="Q269" i="2"/>
  <c r="P269" i="2"/>
  <c r="O269" i="2"/>
  <c r="N269" i="2"/>
  <c r="M269" i="2"/>
  <c r="L269" i="2"/>
  <c r="I269" i="2"/>
  <c r="H269" i="2"/>
  <c r="G269" i="2"/>
  <c r="F269" i="2"/>
  <c r="E269" i="2"/>
  <c r="D269" i="2"/>
  <c r="C269" i="2"/>
  <c r="B269" i="2"/>
  <c r="A269" i="2"/>
  <c r="T268" i="2"/>
  <c r="S268" i="2"/>
  <c r="R268" i="2"/>
  <c r="Q268" i="2"/>
  <c r="P268" i="2"/>
  <c r="O268" i="2"/>
  <c r="N268" i="2"/>
  <c r="M268" i="2"/>
  <c r="L268" i="2"/>
  <c r="K268" i="2"/>
  <c r="J268" i="2"/>
  <c r="I268" i="2"/>
  <c r="H268" i="2"/>
  <c r="G268" i="2"/>
  <c r="F268" i="2"/>
  <c r="E268" i="2"/>
  <c r="D268" i="2"/>
  <c r="C268" i="2"/>
  <c r="B268" i="2"/>
  <c r="A268" i="2"/>
  <c r="T267" i="2"/>
  <c r="S267" i="2"/>
  <c r="R267" i="2"/>
  <c r="Q267" i="2"/>
  <c r="P267" i="2"/>
  <c r="O267" i="2"/>
  <c r="N267" i="2"/>
  <c r="M267" i="2"/>
  <c r="L267" i="2"/>
  <c r="K267" i="2"/>
  <c r="J267" i="2"/>
  <c r="I267" i="2"/>
  <c r="H267" i="2"/>
  <c r="G267" i="2"/>
  <c r="F267" i="2"/>
  <c r="E267" i="2"/>
  <c r="D267" i="2"/>
  <c r="C267" i="2"/>
  <c r="B267" i="2"/>
  <c r="A267" i="2"/>
  <c r="T266" i="2"/>
  <c r="S266" i="2"/>
  <c r="R266" i="2"/>
  <c r="Q266" i="2"/>
  <c r="P266" i="2"/>
  <c r="O266" i="2"/>
  <c r="N266" i="2"/>
  <c r="M266" i="2"/>
  <c r="L266" i="2"/>
  <c r="K266" i="2"/>
  <c r="J266" i="2"/>
  <c r="I266" i="2"/>
  <c r="H266" i="2"/>
  <c r="G266" i="2"/>
  <c r="F266" i="2"/>
  <c r="E266" i="2"/>
  <c r="D266" i="2"/>
  <c r="C266" i="2"/>
  <c r="B266" i="2"/>
  <c r="A266" i="2"/>
  <c r="T265" i="2"/>
  <c r="S265" i="2"/>
  <c r="Q265" i="2"/>
  <c r="P265" i="2"/>
  <c r="O265" i="2"/>
  <c r="N265" i="2"/>
  <c r="M265" i="2"/>
  <c r="L265" i="2"/>
  <c r="K265" i="2"/>
  <c r="J265" i="2"/>
  <c r="I265" i="2"/>
  <c r="H265" i="2"/>
  <c r="G265" i="2"/>
  <c r="F265" i="2"/>
  <c r="E265" i="2"/>
  <c r="D265" i="2"/>
  <c r="C265" i="2"/>
  <c r="B265" i="2"/>
  <c r="A265" i="2"/>
  <c r="T264" i="2"/>
  <c r="S264" i="2"/>
  <c r="R264" i="2"/>
  <c r="Q264" i="2"/>
  <c r="P264" i="2"/>
  <c r="O264" i="2"/>
  <c r="N264" i="2"/>
  <c r="M264" i="2"/>
  <c r="L264" i="2"/>
  <c r="K264" i="2"/>
  <c r="J264" i="2"/>
  <c r="I264" i="2"/>
  <c r="H264" i="2"/>
  <c r="G264" i="2"/>
  <c r="F264" i="2"/>
  <c r="E264" i="2"/>
  <c r="D264" i="2"/>
  <c r="C264" i="2"/>
  <c r="B264" i="2"/>
  <c r="A264" i="2"/>
  <c r="T263" i="2"/>
  <c r="S263" i="2"/>
  <c r="R263" i="2"/>
  <c r="Q263" i="2"/>
  <c r="P263" i="2"/>
  <c r="O263" i="2"/>
  <c r="N263" i="2"/>
  <c r="M263" i="2"/>
  <c r="L263" i="2"/>
  <c r="K263" i="2"/>
  <c r="J263" i="2"/>
  <c r="I263" i="2"/>
  <c r="H263" i="2"/>
  <c r="G263" i="2"/>
  <c r="F263" i="2"/>
  <c r="E263" i="2"/>
  <c r="D263" i="2"/>
  <c r="C263" i="2"/>
  <c r="B263" i="2"/>
  <c r="A263" i="2"/>
  <c r="T262" i="2"/>
  <c r="S262" i="2"/>
  <c r="R262" i="2"/>
  <c r="Q262" i="2"/>
  <c r="P262" i="2"/>
  <c r="O262" i="2"/>
  <c r="N262" i="2"/>
  <c r="M262" i="2"/>
  <c r="L262" i="2"/>
  <c r="K262" i="2"/>
  <c r="J262" i="2"/>
  <c r="I262" i="2"/>
  <c r="H262" i="2"/>
  <c r="G262" i="2"/>
  <c r="F262" i="2"/>
  <c r="E262" i="2"/>
  <c r="D262" i="2"/>
  <c r="C262" i="2"/>
  <c r="B262" i="2"/>
  <c r="A262" i="2"/>
  <c r="T261" i="2"/>
  <c r="S261" i="2"/>
  <c r="R261" i="2"/>
  <c r="Q261" i="2"/>
  <c r="P261" i="2"/>
  <c r="O261" i="2"/>
  <c r="N261" i="2"/>
  <c r="L261" i="2"/>
  <c r="H261" i="2"/>
  <c r="G261" i="2"/>
  <c r="F261" i="2"/>
  <c r="E261" i="2"/>
  <c r="D261" i="2"/>
  <c r="C261" i="2"/>
  <c r="B261" i="2"/>
  <c r="A261" i="2"/>
  <c r="T260" i="2"/>
  <c r="S260" i="2"/>
  <c r="R260" i="2"/>
  <c r="Q260" i="2"/>
  <c r="P260" i="2"/>
  <c r="O260" i="2"/>
  <c r="N260" i="2"/>
  <c r="M260" i="2"/>
  <c r="L260" i="2"/>
  <c r="K260" i="2"/>
  <c r="J260" i="2"/>
  <c r="I260" i="2"/>
  <c r="H260" i="2"/>
  <c r="G260" i="2"/>
  <c r="F260" i="2"/>
  <c r="E260" i="2"/>
  <c r="D260" i="2"/>
  <c r="C260" i="2"/>
  <c r="B260" i="2"/>
  <c r="A260" i="2"/>
  <c r="Q259" i="2"/>
  <c r="P259" i="2"/>
  <c r="O259" i="2"/>
  <c r="N259" i="2"/>
  <c r="L259" i="2"/>
  <c r="H259" i="2"/>
  <c r="G259" i="2"/>
  <c r="F259" i="2"/>
  <c r="E259" i="2"/>
  <c r="D259" i="2"/>
  <c r="C259" i="2"/>
  <c r="B259" i="2"/>
  <c r="A259" i="2"/>
  <c r="Q258" i="2"/>
  <c r="P258" i="2"/>
  <c r="O258" i="2"/>
  <c r="N258" i="2"/>
  <c r="L258" i="2"/>
  <c r="H258" i="2"/>
  <c r="G258" i="2"/>
  <c r="F258" i="2"/>
  <c r="E258" i="2"/>
  <c r="D258" i="2"/>
  <c r="C258" i="2"/>
  <c r="B258" i="2"/>
  <c r="A258" i="2"/>
  <c r="S257" i="2"/>
  <c r="R257" i="2"/>
  <c r="Q257" i="2"/>
  <c r="P257" i="2"/>
  <c r="O257" i="2"/>
  <c r="N257" i="2"/>
  <c r="M257" i="2"/>
  <c r="L257" i="2"/>
  <c r="K257" i="2"/>
  <c r="J257" i="2"/>
  <c r="I257" i="2"/>
  <c r="H257" i="2"/>
  <c r="G257" i="2"/>
  <c r="F257" i="2"/>
  <c r="E257" i="2"/>
  <c r="D257" i="2"/>
  <c r="C257" i="2"/>
  <c r="B257" i="2"/>
  <c r="A257" i="2"/>
  <c r="T256" i="2"/>
  <c r="S256" i="2"/>
  <c r="R256" i="2"/>
  <c r="Q256" i="2"/>
  <c r="P256" i="2"/>
  <c r="O256" i="2"/>
  <c r="N256" i="2"/>
  <c r="M256" i="2"/>
  <c r="L256" i="2"/>
  <c r="K256" i="2"/>
  <c r="J256" i="2"/>
  <c r="I256" i="2"/>
  <c r="H256" i="2"/>
  <c r="G256" i="2"/>
  <c r="F256" i="2"/>
  <c r="E256" i="2"/>
  <c r="D256" i="2"/>
  <c r="C256" i="2"/>
  <c r="B256" i="2"/>
  <c r="A256" i="2"/>
  <c r="T255" i="2"/>
  <c r="S255" i="2"/>
  <c r="R255" i="2"/>
  <c r="Q255" i="2"/>
  <c r="P255" i="2"/>
  <c r="O255" i="2"/>
  <c r="N255" i="2"/>
  <c r="M255" i="2"/>
  <c r="L255" i="2"/>
  <c r="K255" i="2"/>
  <c r="J255" i="2"/>
  <c r="I255" i="2"/>
  <c r="H255" i="2"/>
  <c r="G255" i="2"/>
  <c r="F255" i="2"/>
  <c r="E255" i="2"/>
  <c r="D255" i="2"/>
  <c r="C255" i="2"/>
  <c r="B255" i="2"/>
  <c r="A255" i="2"/>
  <c r="T254" i="2"/>
  <c r="S254" i="2"/>
  <c r="R254" i="2"/>
  <c r="Q254" i="2"/>
  <c r="P254" i="2"/>
  <c r="O254" i="2"/>
  <c r="N254" i="2"/>
  <c r="M254" i="2"/>
  <c r="L254" i="2"/>
  <c r="K254" i="2"/>
  <c r="J254" i="2"/>
  <c r="I254" i="2"/>
  <c r="H254" i="2"/>
  <c r="G254" i="2"/>
  <c r="F254" i="2"/>
  <c r="E254" i="2"/>
  <c r="D254" i="2"/>
  <c r="C254" i="2"/>
  <c r="B254" i="2"/>
  <c r="A254" i="2"/>
  <c r="T253" i="2"/>
  <c r="S253" i="2"/>
  <c r="R253" i="2"/>
  <c r="Q253" i="2"/>
  <c r="P253" i="2"/>
  <c r="O253" i="2"/>
  <c r="N253" i="2"/>
  <c r="M253" i="2"/>
  <c r="L253" i="2"/>
  <c r="K253" i="2"/>
  <c r="J253" i="2"/>
  <c r="I253" i="2"/>
  <c r="H253" i="2"/>
  <c r="G253" i="2"/>
  <c r="F253" i="2"/>
  <c r="E253" i="2"/>
  <c r="D253" i="2"/>
  <c r="C253" i="2"/>
  <c r="B253" i="2"/>
  <c r="A253" i="2"/>
  <c r="T252" i="2"/>
  <c r="S252" i="2"/>
  <c r="R252" i="2"/>
  <c r="Q252" i="2"/>
  <c r="P252" i="2"/>
  <c r="O252" i="2"/>
  <c r="N252" i="2"/>
  <c r="M252" i="2"/>
  <c r="L252" i="2"/>
  <c r="K252" i="2"/>
  <c r="J252" i="2"/>
  <c r="I252" i="2"/>
  <c r="H252" i="2"/>
  <c r="G252" i="2"/>
  <c r="F252" i="2"/>
  <c r="E252" i="2"/>
  <c r="D252" i="2"/>
  <c r="C252" i="2"/>
  <c r="B252" i="2"/>
  <c r="A252" i="2"/>
  <c r="T251" i="2"/>
  <c r="S251" i="2"/>
  <c r="R251" i="2"/>
  <c r="Q251" i="2"/>
  <c r="P251" i="2"/>
  <c r="O251" i="2"/>
  <c r="N251" i="2"/>
  <c r="M251" i="2"/>
  <c r="L251" i="2"/>
  <c r="K251" i="2"/>
  <c r="J251" i="2"/>
  <c r="I251" i="2"/>
  <c r="H251" i="2"/>
  <c r="G251" i="2"/>
  <c r="F251" i="2"/>
  <c r="E251" i="2"/>
  <c r="D251" i="2"/>
  <c r="C251" i="2"/>
  <c r="B251" i="2"/>
  <c r="A251" i="2"/>
  <c r="T250" i="2"/>
  <c r="S250" i="2"/>
  <c r="R250" i="2"/>
  <c r="Q250" i="2"/>
  <c r="P250" i="2"/>
  <c r="O250" i="2"/>
  <c r="N250" i="2"/>
  <c r="M250" i="2"/>
  <c r="L250" i="2"/>
  <c r="K250" i="2"/>
  <c r="J250" i="2"/>
  <c r="I250" i="2"/>
  <c r="H250" i="2"/>
  <c r="G250" i="2"/>
  <c r="F250" i="2"/>
  <c r="E250" i="2"/>
  <c r="D250" i="2"/>
  <c r="C250" i="2"/>
  <c r="B250" i="2"/>
  <c r="A250" i="2"/>
  <c r="T249" i="2"/>
  <c r="S249" i="2"/>
  <c r="R249" i="2"/>
  <c r="Q249" i="2"/>
  <c r="P249" i="2"/>
  <c r="O249" i="2"/>
  <c r="N249" i="2"/>
  <c r="L249" i="2"/>
  <c r="K249" i="2"/>
  <c r="J249" i="2"/>
  <c r="I249" i="2"/>
  <c r="H249" i="2"/>
  <c r="G249" i="2"/>
  <c r="F249" i="2"/>
  <c r="E249" i="2"/>
  <c r="D249" i="2"/>
  <c r="C249" i="2"/>
  <c r="B249" i="2"/>
  <c r="A249" i="2"/>
  <c r="T248" i="2"/>
  <c r="S248" i="2"/>
  <c r="R248" i="2"/>
  <c r="Q248" i="2"/>
  <c r="P248" i="2"/>
  <c r="O248" i="2"/>
  <c r="N248" i="2"/>
  <c r="L248" i="2"/>
  <c r="K248" i="2"/>
  <c r="J248" i="2"/>
  <c r="I248" i="2"/>
  <c r="H248" i="2"/>
  <c r="G248" i="2"/>
  <c r="F248" i="2"/>
  <c r="E248" i="2"/>
  <c r="D248" i="2"/>
  <c r="C248" i="2"/>
  <c r="B248" i="2"/>
  <c r="A248" i="2"/>
  <c r="T247" i="2"/>
  <c r="S247" i="2"/>
  <c r="R247" i="2"/>
  <c r="Q247" i="2"/>
  <c r="P247" i="2"/>
  <c r="O247" i="2"/>
  <c r="N247" i="2"/>
  <c r="L247" i="2"/>
  <c r="K247" i="2"/>
  <c r="J247" i="2"/>
  <c r="I247" i="2"/>
  <c r="H247" i="2"/>
  <c r="G247" i="2"/>
  <c r="F247" i="2"/>
  <c r="E247" i="2"/>
  <c r="D247" i="2"/>
  <c r="C247" i="2"/>
  <c r="B247" i="2"/>
  <c r="A247" i="2"/>
  <c r="T246" i="2"/>
  <c r="S246" i="2"/>
  <c r="R246" i="2"/>
  <c r="Q246" i="2"/>
  <c r="P246" i="2"/>
  <c r="O246" i="2"/>
  <c r="N246" i="2"/>
  <c r="L246" i="2"/>
  <c r="K246" i="2"/>
  <c r="J246" i="2"/>
  <c r="I246" i="2"/>
  <c r="H246" i="2"/>
  <c r="G246" i="2"/>
  <c r="F246" i="2"/>
  <c r="E246" i="2"/>
  <c r="D246" i="2"/>
  <c r="C246" i="2"/>
  <c r="B246" i="2"/>
  <c r="A246" i="2"/>
  <c r="T245" i="2"/>
  <c r="S245" i="2"/>
  <c r="R245" i="2"/>
  <c r="Q245" i="2"/>
  <c r="P245" i="2"/>
  <c r="O245" i="2"/>
  <c r="N245" i="2"/>
  <c r="L245" i="2"/>
  <c r="K245" i="2"/>
  <c r="J245" i="2"/>
  <c r="I245" i="2"/>
  <c r="H245" i="2"/>
  <c r="G245" i="2"/>
  <c r="F245" i="2"/>
  <c r="E245" i="2"/>
  <c r="D245" i="2"/>
  <c r="C245" i="2"/>
  <c r="B245" i="2"/>
  <c r="A245" i="2"/>
  <c r="T244" i="2"/>
  <c r="S244" i="2"/>
  <c r="R244" i="2"/>
  <c r="Q244" i="2"/>
  <c r="P244" i="2"/>
  <c r="O244" i="2"/>
  <c r="N244" i="2"/>
  <c r="L244" i="2"/>
  <c r="K244" i="2"/>
  <c r="J244" i="2"/>
  <c r="I244" i="2"/>
  <c r="H244" i="2"/>
  <c r="G244" i="2"/>
  <c r="F244" i="2"/>
  <c r="E244" i="2"/>
  <c r="D244" i="2"/>
  <c r="C244" i="2"/>
  <c r="B244" i="2"/>
  <c r="A244" i="2"/>
  <c r="T243" i="2"/>
  <c r="S243" i="2"/>
  <c r="R243" i="2"/>
  <c r="Q243" i="2"/>
  <c r="P243" i="2"/>
  <c r="O243" i="2"/>
  <c r="N243" i="2"/>
  <c r="M243" i="2"/>
  <c r="L243" i="2"/>
  <c r="K243" i="2"/>
  <c r="J243" i="2"/>
  <c r="I243" i="2"/>
  <c r="H243" i="2"/>
  <c r="G243" i="2"/>
  <c r="F243" i="2"/>
  <c r="E243" i="2"/>
  <c r="D243" i="2"/>
  <c r="C243" i="2"/>
  <c r="B243" i="2"/>
  <c r="A243" i="2"/>
  <c r="T242" i="2"/>
  <c r="S242" i="2"/>
  <c r="R242" i="2"/>
  <c r="Q242" i="2"/>
  <c r="P242" i="2"/>
  <c r="O242" i="2"/>
  <c r="N242" i="2"/>
  <c r="M242" i="2"/>
  <c r="L242" i="2"/>
  <c r="K242" i="2"/>
  <c r="J242" i="2"/>
  <c r="I242" i="2"/>
  <c r="H242" i="2"/>
  <c r="G242" i="2"/>
  <c r="F242" i="2"/>
  <c r="E242" i="2"/>
  <c r="D242" i="2"/>
  <c r="C242" i="2"/>
  <c r="B242" i="2"/>
  <c r="A242" i="2"/>
  <c r="T241" i="2"/>
  <c r="S241" i="2"/>
  <c r="R241" i="2"/>
  <c r="Q241" i="2"/>
  <c r="P241" i="2"/>
  <c r="O241" i="2"/>
  <c r="N241" i="2"/>
  <c r="M241" i="2"/>
  <c r="K241" i="2"/>
  <c r="J241" i="2"/>
  <c r="I241" i="2"/>
  <c r="H241" i="2"/>
  <c r="G241" i="2"/>
  <c r="F241" i="2"/>
  <c r="E241" i="2"/>
  <c r="D241" i="2"/>
  <c r="C241" i="2"/>
  <c r="B241" i="2"/>
  <c r="A241" i="2"/>
  <c r="T240" i="2"/>
  <c r="S240" i="2"/>
  <c r="R240" i="2"/>
  <c r="Q240" i="2"/>
  <c r="P240" i="2"/>
  <c r="O240" i="2"/>
  <c r="N240" i="2"/>
  <c r="M240" i="2"/>
  <c r="L240" i="2"/>
  <c r="K240" i="2"/>
  <c r="J240" i="2"/>
  <c r="I240" i="2"/>
  <c r="H240" i="2"/>
  <c r="G240" i="2"/>
  <c r="F240" i="2"/>
  <c r="E240" i="2"/>
  <c r="D240" i="2"/>
  <c r="C240" i="2"/>
  <c r="B240" i="2"/>
  <c r="A240" i="2"/>
  <c r="T239" i="2"/>
  <c r="S239" i="2"/>
  <c r="R239" i="2"/>
  <c r="Q239" i="2"/>
  <c r="P239" i="2"/>
  <c r="O239" i="2"/>
  <c r="N239" i="2"/>
  <c r="M239" i="2"/>
  <c r="L239" i="2"/>
  <c r="K239" i="2"/>
  <c r="J239" i="2"/>
  <c r="I239" i="2"/>
  <c r="H239" i="2"/>
  <c r="G239" i="2"/>
  <c r="F239" i="2"/>
  <c r="E239" i="2"/>
  <c r="D239" i="2"/>
  <c r="C239" i="2"/>
  <c r="B239" i="2"/>
  <c r="A239" i="2"/>
  <c r="T238" i="2"/>
  <c r="S238" i="2"/>
  <c r="R238" i="2"/>
  <c r="Q238" i="2"/>
  <c r="P238" i="2"/>
  <c r="O238" i="2"/>
  <c r="N238" i="2"/>
  <c r="M238" i="2"/>
  <c r="L238" i="2"/>
  <c r="K238" i="2"/>
  <c r="J238" i="2"/>
  <c r="I238" i="2"/>
  <c r="H238" i="2"/>
  <c r="G238" i="2"/>
  <c r="F238" i="2"/>
  <c r="E238" i="2"/>
  <c r="D238" i="2"/>
  <c r="C238" i="2"/>
  <c r="B238" i="2"/>
  <c r="A238" i="2"/>
  <c r="T237" i="2"/>
  <c r="S237" i="2"/>
  <c r="R237" i="2"/>
  <c r="Q237" i="2"/>
  <c r="P237" i="2"/>
  <c r="O237" i="2"/>
  <c r="N237" i="2"/>
  <c r="M237" i="2"/>
  <c r="L237" i="2"/>
  <c r="K237" i="2"/>
  <c r="J237" i="2"/>
  <c r="I237" i="2"/>
  <c r="H237" i="2"/>
  <c r="G237" i="2"/>
  <c r="F237" i="2"/>
  <c r="E237" i="2"/>
  <c r="D237" i="2"/>
  <c r="C237" i="2"/>
  <c r="B237" i="2"/>
  <c r="A237" i="2"/>
  <c r="T236" i="2"/>
  <c r="S236" i="2"/>
  <c r="R236" i="2"/>
  <c r="Q236" i="2"/>
  <c r="P236" i="2"/>
  <c r="O236" i="2"/>
  <c r="N236" i="2"/>
  <c r="M236" i="2"/>
  <c r="L236" i="2"/>
  <c r="K236" i="2"/>
  <c r="J236" i="2"/>
  <c r="I236" i="2"/>
  <c r="H236" i="2"/>
  <c r="G236" i="2"/>
  <c r="F236" i="2"/>
  <c r="E236" i="2"/>
  <c r="D236" i="2"/>
  <c r="C236" i="2"/>
  <c r="B236" i="2"/>
  <c r="A236" i="2"/>
  <c r="S235" i="2"/>
  <c r="R235" i="2"/>
  <c r="Q235" i="2"/>
  <c r="P235" i="2"/>
  <c r="O235" i="2"/>
  <c r="N235" i="2"/>
  <c r="M235" i="2"/>
  <c r="L235" i="2"/>
  <c r="K235" i="2"/>
  <c r="J235" i="2"/>
  <c r="I235" i="2"/>
  <c r="H235" i="2"/>
  <c r="G235" i="2"/>
  <c r="F235" i="2"/>
  <c r="E235" i="2"/>
  <c r="D235" i="2"/>
  <c r="C235" i="2"/>
  <c r="B235" i="2"/>
  <c r="A235" i="2"/>
  <c r="S234" i="2"/>
  <c r="R234" i="2"/>
  <c r="Q234" i="2"/>
  <c r="P234" i="2"/>
  <c r="O234" i="2"/>
  <c r="N234" i="2"/>
  <c r="M234" i="2"/>
  <c r="L234" i="2"/>
  <c r="K234" i="2"/>
  <c r="J234" i="2"/>
  <c r="I234" i="2"/>
  <c r="H234" i="2"/>
  <c r="G234" i="2"/>
  <c r="F234" i="2"/>
  <c r="E234" i="2"/>
  <c r="D234" i="2"/>
  <c r="C234" i="2"/>
  <c r="B234" i="2"/>
  <c r="A234" i="2"/>
  <c r="T233" i="2"/>
  <c r="S233" i="2"/>
  <c r="R233" i="2"/>
  <c r="Q233" i="2"/>
  <c r="P233" i="2"/>
  <c r="O233" i="2"/>
  <c r="N233" i="2"/>
  <c r="M233" i="2"/>
  <c r="L233" i="2"/>
  <c r="K233" i="2"/>
  <c r="J233" i="2"/>
  <c r="I233" i="2"/>
  <c r="H233" i="2"/>
  <c r="G233" i="2"/>
  <c r="F233" i="2"/>
  <c r="E233" i="2"/>
  <c r="D233" i="2"/>
  <c r="C233" i="2"/>
  <c r="B233" i="2"/>
  <c r="A233" i="2"/>
  <c r="T232" i="2"/>
  <c r="S232" i="2"/>
  <c r="R232" i="2"/>
  <c r="Q232" i="2"/>
  <c r="P232" i="2"/>
  <c r="O232" i="2"/>
  <c r="N232" i="2"/>
  <c r="M232" i="2"/>
  <c r="L232" i="2"/>
  <c r="K232" i="2"/>
  <c r="J232" i="2"/>
  <c r="I232" i="2"/>
  <c r="H232" i="2"/>
  <c r="G232" i="2"/>
  <c r="F232" i="2"/>
  <c r="E232" i="2"/>
  <c r="D232" i="2"/>
  <c r="C232" i="2"/>
  <c r="B232" i="2"/>
  <c r="A232" i="2"/>
  <c r="T231" i="2"/>
  <c r="S231" i="2"/>
  <c r="R231" i="2"/>
  <c r="Q231" i="2"/>
  <c r="P231" i="2"/>
  <c r="O231" i="2"/>
  <c r="N231" i="2"/>
  <c r="M231" i="2"/>
  <c r="L231" i="2"/>
  <c r="K231" i="2"/>
  <c r="J231" i="2"/>
  <c r="I231" i="2"/>
  <c r="H231" i="2"/>
  <c r="G231" i="2"/>
  <c r="F231" i="2"/>
  <c r="E231" i="2"/>
  <c r="D231" i="2"/>
  <c r="C231" i="2"/>
  <c r="B231" i="2"/>
  <c r="A231" i="2"/>
  <c r="T230" i="2"/>
  <c r="S230" i="2"/>
  <c r="R230" i="2"/>
  <c r="Q230" i="2"/>
  <c r="P230" i="2"/>
  <c r="O230" i="2"/>
  <c r="N230" i="2"/>
  <c r="M230" i="2"/>
  <c r="L230" i="2"/>
  <c r="K230" i="2"/>
  <c r="J230" i="2"/>
  <c r="I230" i="2"/>
  <c r="H230" i="2"/>
  <c r="G230" i="2"/>
  <c r="F230" i="2"/>
  <c r="E230" i="2"/>
  <c r="D230" i="2"/>
  <c r="C230" i="2"/>
  <c r="B230" i="2"/>
  <c r="A230" i="2"/>
  <c r="T229" i="2"/>
  <c r="S229" i="2"/>
  <c r="R229" i="2"/>
  <c r="Q229" i="2"/>
  <c r="P229" i="2"/>
  <c r="O229" i="2"/>
  <c r="N229" i="2"/>
  <c r="M229" i="2"/>
  <c r="L229" i="2"/>
  <c r="K229" i="2"/>
  <c r="J229" i="2"/>
  <c r="I229" i="2"/>
  <c r="H229" i="2"/>
  <c r="G229" i="2"/>
  <c r="F229" i="2"/>
  <c r="E229" i="2"/>
  <c r="D229" i="2"/>
  <c r="C229" i="2"/>
  <c r="B229" i="2"/>
  <c r="A229" i="2"/>
  <c r="T228" i="2"/>
  <c r="S228" i="2"/>
  <c r="R228" i="2"/>
  <c r="Q228" i="2"/>
  <c r="P228" i="2"/>
  <c r="O228" i="2"/>
  <c r="N228" i="2"/>
  <c r="M228" i="2"/>
  <c r="L228" i="2"/>
  <c r="K228" i="2"/>
  <c r="J228" i="2"/>
  <c r="I228" i="2"/>
  <c r="H228" i="2"/>
  <c r="G228" i="2"/>
  <c r="F228" i="2"/>
  <c r="E228" i="2"/>
  <c r="D228" i="2"/>
  <c r="C228" i="2"/>
  <c r="B228" i="2"/>
  <c r="A228" i="2"/>
  <c r="T227" i="2"/>
  <c r="S227" i="2"/>
  <c r="R227" i="2"/>
  <c r="Q227" i="2"/>
  <c r="P227" i="2"/>
  <c r="O227" i="2"/>
  <c r="N227" i="2"/>
  <c r="M227" i="2"/>
  <c r="L227" i="2"/>
  <c r="K227" i="2"/>
  <c r="J227" i="2"/>
  <c r="I227" i="2"/>
  <c r="H227" i="2"/>
  <c r="G227" i="2"/>
  <c r="F227" i="2"/>
  <c r="E227" i="2"/>
  <c r="D227" i="2"/>
  <c r="C227" i="2"/>
  <c r="B227" i="2"/>
  <c r="A227" i="2"/>
  <c r="T226" i="2"/>
  <c r="S226" i="2"/>
  <c r="R226" i="2"/>
  <c r="Q226" i="2"/>
  <c r="P226" i="2"/>
  <c r="O226" i="2"/>
  <c r="N226" i="2"/>
  <c r="M226" i="2"/>
  <c r="L226" i="2"/>
  <c r="K226" i="2"/>
  <c r="J226" i="2"/>
  <c r="I226" i="2"/>
  <c r="H226" i="2"/>
  <c r="G226" i="2"/>
  <c r="F226" i="2"/>
  <c r="E226" i="2"/>
  <c r="D226" i="2"/>
  <c r="C226" i="2"/>
  <c r="B226" i="2"/>
  <c r="A226" i="2"/>
  <c r="T225" i="2"/>
  <c r="S225" i="2"/>
  <c r="R225" i="2"/>
  <c r="Q225" i="2"/>
  <c r="P225" i="2"/>
  <c r="O225" i="2"/>
  <c r="N225" i="2"/>
  <c r="M225" i="2"/>
  <c r="L225" i="2"/>
  <c r="K225" i="2"/>
  <c r="J225" i="2"/>
  <c r="I225" i="2"/>
  <c r="H225" i="2"/>
  <c r="G225" i="2"/>
  <c r="F225" i="2"/>
  <c r="E225" i="2"/>
  <c r="D225" i="2"/>
  <c r="C225" i="2"/>
  <c r="B225" i="2"/>
  <c r="A225" i="2"/>
  <c r="T224" i="2"/>
  <c r="S224" i="2"/>
  <c r="R224" i="2"/>
  <c r="Q224" i="2"/>
  <c r="P224" i="2"/>
  <c r="O224" i="2"/>
  <c r="N224" i="2"/>
  <c r="M224" i="2"/>
  <c r="L224" i="2"/>
  <c r="K224" i="2"/>
  <c r="J224" i="2"/>
  <c r="I224" i="2"/>
  <c r="H224" i="2"/>
  <c r="G224" i="2"/>
  <c r="F224" i="2"/>
  <c r="E224" i="2"/>
  <c r="D224" i="2"/>
  <c r="C224" i="2"/>
  <c r="B224" i="2"/>
  <c r="A224" i="2"/>
  <c r="T223" i="2"/>
  <c r="S223" i="2"/>
  <c r="R223" i="2"/>
  <c r="Q223" i="2"/>
  <c r="P223" i="2"/>
  <c r="O223" i="2"/>
  <c r="N223" i="2"/>
  <c r="M223" i="2"/>
  <c r="L223" i="2"/>
  <c r="K223" i="2"/>
  <c r="J223" i="2"/>
  <c r="I223" i="2"/>
  <c r="H223" i="2"/>
  <c r="G223" i="2"/>
  <c r="F223" i="2"/>
  <c r="E223" i="2"/>
  <c r="D223" i="2"/>
  <c r="C223" i="2"/>
  <c r="B223" i="2"/>
  <c r="A223" i="2"/>
  <c r="T222" i="2"/>
  <c r="S222" i="2"/>
  <c r="R222" i="2"/>
  <c r="Q222" i="2"/>
  <c r="P222" i="2"/>
  <c r="O222" i="2"/>
  <c r="N222" i="2"/>
  <c r="M222" i="2"/>
  <c r="L222" i="2"/>
  <c r="K222" i="2"/>
  <c r="J222" i="2"/>
  <c r="I222" i="2"/>
  <c r="H222" i="2"/>
  <c r="G222" i="2"/>
  <c r="F222" i="2"/>
  <c r="E222" i="2"/>
  <c r="D222" i="2"/>
  <c r="C222" i="2"/>
  <c r="B222" i="2"/>
  <c r="A222" i="2"/>
  <c r="T221" i="2"/>
  <c r="S221" i="2"/>
  <c r="R221" i="2"/>
  <c r="Q221" i="2"/>
  <c r="P221" i="2"/>
  <c r="O221" i="2"/>
  <c r="N221" i="2"/>
  <c r="M221" i="2"/>
  <c r="L221" i="2"/>
  <c r="K221" i="2"/>
  <c r="J221" i="2"/>
  <c r="I221" i="2"/>
  <c r="H221" i="2"/>
  <c r="G221" i="2"/>
  <c r="F221" i="2"/>
  <c r="E221" i="2"/>
  <c r="D221" i="2"/>
  <c r="C221" i="2"/>
  <c r="B221" i="2"/>
  <c r="A221" i="2"/>
  <c r="T220" i="2"/>
  <c r="S220" i="2"/>
  <c r="R220" i="2"/>
  <c r="Q220" i="2"/>
  <c r="P220" i="2"/>
  <c r="O220" i="2"/>
  <c r="N220" i="2"/>
  <c r="M220" i="2"/>
  <c r="L220" i="2"/>
  <c r="K220" i="2"/>
  <c r="J220" i="2"/>
  <c r="I220" i="2"/>
  <c r="H220" i="2"/>
  <c r="G220" i="2"/>
  <c r="F220" i="2"/>
  <c r="E220" i="2"/>
  <c r="D220" i="2"/>
  <c r="C220" i="2"/>
  <c r="B220" i="2"/>
  <c r="A220" i="2"/>
  <c r="T219" i="2"/>
  <c r="S219" i="2"/>
  <c r="R219" i="2"/>
  <c r="Q219" i="2"/>
  <c r="P219" i="2"/>
  <c r="O219" i="2"/>
  <c r="N219" i="2"/>
  <c r="M219" i="2"/>
  <c r="L219" i="2"/>
  <c r="K219" i="2"/>
  <c r="J219" i="2"/>
  <c r="I219" i="2"/>
  <c r="H219" i="2"/>
  <c r="G219" i="2"/>
  <c r="F219" i="2"/>
  <c r="E219" i="2"/>
  <c r="D219" i="2"/>
  <c r="C219" i="2"/>
  <c r="B219" i="2"/>
  <c r="A219" i="2"/>
  <c r="T218" i="2"/>
  <c r="S218" i="2"/>
  <c r="R218" i="2"/>
  <c r="Q218" i="2"/>
  <c r="P218" i="2"/>
  <c r="O218" i="2"/>
  <c r="N218" i="2"/>
  <c r="M218" i="2"/>
  <c r="L218" i="2"/>
  <c r="K218" i="2"/>
  <c r="J218" i="2"/>
  <c r="I218" i="2"/>
  <c r="H218" i="2"/>
  <c r="G218" i="2"/>
  <c r="F218" i="2"/>
  <c r="E218" i="2"/>
  <c r="D218" i="2"/>
  <c r="C218" i="2"/>
  <c r="B218" i="2"/>
  <c r="A218" i="2"/>
  <c r="T217" i="2"/>
  <c r="S217" i="2"/>
  <c r="R217" i="2"/>
  <c r="Q217" i="2"/>
  <c r="P217" i="2"/>
  <c r="O217" i="2"/>
  <c r="N217" i="2"/>
  <c r="M217" i="2"/>
  <c r="L217" i="2"/>
  <c r="K217" i="2"/>
  <c r="J217" i="2"/>
  <c r="I217" i="2"/>
  <c r="H217" i="2"/>
  <c r="G217" i="2"/>
  <c r="F217" i="2"/>
  <c r="E217" i="2"/>
  <c r="D217" i="2"/>
  <c r="C217" i="2"/>
  <c r="B217" i="2"/>
  <c r="A217" i="2"/>
  <c r="T216" i="2"/>
  <c r="S216" i="2"/>
  <c r="R216" i="2"/>
  <c r="Q216" i="2"/>
  <c r="P216" i="2"/>
  <c r="O216" i="2"/>
  <c r="N216" i="2"/>
  <c r="M216" i="2"/>
  <c r="L216" i="2"/>
  <c r="K216" i="2"/>
  <c r="J216" i="2"/>
  <c r="I216" i="2"/>
  <c r="H216" i="2"/>
  <c r="G216" i="2"/>
  <c r="F216" i="2"/>
  <c r="E216" i="2"/>
  <c r="D216" i="2"/>
  <c r="C216" i="2"/>
  <c r="B216" i="2"/>
  <c r="A216" i="2"/>
  <c r="T215" i="2"/>
  <c r="S215" i="2"/>
  <c r="R215" i="2"/>
  <c r="Q215" i="2"/>
  <c r="P215" i="2"/>
  <c r="O215" i="2"/>
  <c r="N215" i="2"/>
  <c r="M215" i="2"/>
  <c r="L215" i="2"/>
  <c r="K215" i="2"/>
  <c r="J215" i="2"/>
  <c r="I215" i="2"/>
  <c r="H215" i="2"/>
  <c r="G215" i="2"/>
  <c r="F215" i="2"/>
  <c r="E215" i="2"/>
  <c r="D215" i="2"/>
  <c r="C215" i="2"/>
  <c r="B215" i="2"/>
  <c r="A215" i="2"/>
  <c r="T214" i="2"/>
  <c r="S214" i="2"/>
  <c r="R214" i="2"/>
  <c r="Q214" i="2"/>
  <c r="P214" i="2"/>
  <c r="O214" i="2"/>
  <c r="N214" i="2"/>
  <c r="M214" i="2"/>
  <c r="L214" i="2"/>
  <c r="K214" i="2"/>
  <c r="J214" i="2"/>
  <c r="I214" i="2"/>
  <c r="H214" i="2"/>
  <c r="G214" i="2"/>
  <c r="F214" i="2"/>
  <c r="E214" i="2"/>
  <c r="D214" i="2"/>
  <c r="C214" i="2"/>
  <c r="B214" i="2"/>
  <c r="A214" i="2"/>
  <c r="T213" i="2"/>
  <c r="S213" i="2"/>
  <c r="R213" i="2"/>
  <c r="Q213" i="2"/>
  <c r="P213" i="2"/>
  <c r="O213" i="2"/>
  <c r="N213" i="2"/>
  <c r="M213" i="2"/>
  <c r="L213" i="2"/>
  <c r="K213" i="2"/>
  <c r="J213" i="2"/>
  <c r="I213" i="2"/>
  <c r="H213" i="2"/>
  <c r="G213" i="2"/>
  <c r="F213" i="2"/>
  <c r="E213" i="2"/>
  <c r="D213" i="2"/>
  <c r="C213" i="2"/>
  <c r="B213" i="2"/>
  <c r="A213" i="2"/>
  <c r="T212" i="2"/>
  <c r="S212" i="2"/>
  <c r="R212" i="2"/>
  <c r="Q212" i="2"/>
  <c r="P212" i="2"/>
  <c r="O212" i="2"/>
  <c r="N212" i="2"/>
  <c r="M212" i="2"/>
  <c r="L212" i="2"/>
  <c r="K212" i="2"/>
  <c r="J212" i="2"/>
  <c r="I212" i="2"/>
  <c r="H212" i="2"/>
  <c r="G212" i="2"/>
  <c r="F212" i="2"/>
  <c r="E212" i="2"/>
  <c r="D212" i="2"/>
  <c r="C212" i="2"/>
  <c r="B212" i="2"/>
  <c r="A212" i="2"/>
  <c r="T211" i="2"/>
  <c r="S211" i="2"/>
  <c r="R211" i="2"/>
  <c r="Q211" i="2"/>
  <c r="P211" i="2"/>
  <c r="O211" i="2"/>
  <c r="N211" i="2"/>
  <c r="M211" i="2"/>
  <c r="L211" i="2"/>
  <c r="K211" i="2"/>
  <c r="J211" i="2"/>
  <c r="I211" i="2"/>
  <c r="H211" i="2"/>
  <c r="G211" i="2"/>
  <c r="F211" i="2"/>
  <c r="E211" i="2"/>
  <c r="D211" i="2"/>
  <c r="C211" i="2"/>
  <c r="B211" i="2"/>
  <c r="A211" i="2"/>
  <c r="T210" i="2"/>
  <c r="S210" i="2"/>
  <c r="R210" i="2"/>
  <c r="Q210" i="2"/>
  <c r="P210" i="2"/>
  <c r="O210" i="2"/>
  <c r="N210" i="2"/>
  <c r="M210" i="2"/>
  <c r="L210" i="2"/>
  <c r="H210" i="2"/>
  <c r="F210" i="2"/>
  <c r="E210" i="2"/>
  <c r="D210" i="2"/>
  <c r="C210" i="2"/>
  <c r="B210" i="2"/>
  <c r="A210" i="2"/>
  <c r="T209" i="2"/>
  <c r="S209" i="2"/>
  <c r="R209" i="2"/>
  <c r="Q209" i="2"/>
  <c r="P209" i="2"/>
  <c r="O209" i="2"/>
  <c r="N209" i="2"/>
  <c r="M209" i="2"/>
  <c r="L209" i="2"/>
  <c r="K209" i="2"/>
  <c r="J209" i="2"/>
  <c r="I209" i="2"/>
  <c r="H209" i="2"/>
  <c r="F209" i="2"/>
  <c r="E209" i="2"/>
  <c r="D209" i="2"/>
  <c r="C209" i="2"/>
  <c r="B209" i="2"/>
  <c r="A209" i="2"/>
  <c r="T208" i="2"/>
  <c r="S208" i="2"/>
  <c r="R208" i="2"/>
  <c r="Q208" i="2"/>
  <c r="P208" i="2"/>
  <c r="O208" i="2"/>
  <c r="N208" i="2"/>
  <c r="M208" i="2"/>
  <c r="L208" i="2"/>
  <c r="K208" i="2"/>
  <c r="J208" i="2"/>
  <c r="I208" i="2"/>
  <c r="H208" i="2"/>
  <c r="F208" i="2"/>
  <c r="E208" i="2"/>
  <c r="D208" i="2"/>
  <c r="C208" i="2"/>
  <c r="B208" i="2"/>
  <c r="A208" i="2"/>
  <c r="T207" i="2"/>
  <c r="S207" i="2"/>
  <c r="R207" i="2"/>
  <c r="Q207" i="2"/>
  <c r="P207" i="2"/>
  <c r="O207" i="2"/>
  <c r="N207" i="2"/>
  <c r="M207" i="2"/>
  <c r="L207" i="2"/>
  <c r="K207" i="2"/>
  <c r="J207" i="2"/>
  <c r="I207" i="2"/>
  <c r="H207" i="2"/>
  <c r="F207" i="2"/>
  <c r="E207" i="2"/>
  <c r="D207" i="2"/>
  <c r="C207" i="2"/>
  <c r="B207" i="2"/>
  <c r="A207" i="2"/>
  <c r="T206" i="2"/>
  <c r="S206" i="2"/>
  <c r="R206" i="2"/>
  <c r="Q206" i="2"/>
  <c r="P206" i="2"/>
  <c r="O206" i="2"/>
  <c r="N206" i="2"/>
  <c r="M206" i="2"/>
  <c r="K206" i="2"/>
  <c r="J206" i="2"/>
  <c r="I206" i="2"/>
  <c r="H206" i="2"/>
  <c r="F206" i="2"/>
  <c r="E206" i="2"/>
  <c r="D206" i="2"/>
  <c r="C206" i="2"/>
  <c r="B206" i="2"/>
  <c r="A206" i="2"/>
  <c r="T205" i="2"/>
  <c r="S205" i="2"/>
  <c r="R205" i="2"/>
  <c r="Q205" i="2"/>
  <c r="P205" i="2"/>
  <c r="O205" i="2"/>
  <c r="N205" i="2"/>
  <c r="M205" i="2"/>
  <c r="K205" i="2"/>
  <c r="J205" i="2"/>
  <c r="H205" i="2"/>
  <c r="F205" i="2"/>
  <c r="E205" i="2"/>
  <c r="D205" i="2"/>
  <c r="C205" i="2"/>
  <c r="B205" i="2"/>
  <c r="A205" i="2"/>
  <c r="T204" i="2"/>
  <c r="S204" i="2"/>
  <c r="R204" i="2"/>
  <c r="Q204" i="2"/>
  <c r="P204" i="2"/>
  <c r="O204" i="2"/>
  <c r="N204" i="2"/>
  <c r="M204" i="2"/>
  <c r="K204" i="2"/>
  <c r="J204" i="2"/>
  <c r="H204" i="2"/>
  <c r="F204" i="2"/>
  <c r="E204" i="2"/>
  <c r="D204" i="2"/>
  <c r="C204" i="2"/>
  <c r="B204" i="2"/>
  <c r="A204" i="2"/>
  <c r="T203" i="2"/>
  <c r="S203" i="2"/>
  <c r="R203" i="2"/>
  <c r="Q203" i="2"/>
  <c r="P203" i="2"/>
  <c r="O203" i="2"/>
  <c r="N203" i="2"/>
  <c r="M203" i="2"/>
  <c r="K203" i="2"/>
  <c r="J203" i="2"/>
  <c r="H203" i="2"/>
  <c r="F203" i="2"/>
  <c r="E203" i="2"/>
  <c r="D203" i="2"/>
  <c r="C203" i="2"/>
  <c r="B203" i="2"/>
  <c r="A203" i="2"/>
  <c r="T202" i="2"/>
  <c r="S202" i="2"/>
  <c r="R202" i="2"/>
  <c r="Q202" i="2"/>
  <c r="P202" i="2"/>
  <c r="O202" i="2"/>
  <c r="N202" i="2"/>
  <c r="M202" i="2"/>
  <c r="K202" i="2"/>
  <c r="J202" i="2"/>
  <c r="H202" i="2"/>
  <c r="F202" i="2"/>
  <c r="E202" i="2"/>
  <c r="D202" i="2"/>
  <c r="C202" i="2"/>
  <c r="B202" i="2"/>
  <c r="A202" i="2"/>
  <c r="T201" i="2"/>
  <c r="S201" i="2"/>
  <c r="R201" i="2"/>
  <c r="Q201" i="2"/>
  <c r="P201" i="2"/>
  <c r="O201" i="2"/>
  <c r="N201" i="2"/>
  <c r="M201" i="2"/>
  <c r="K201" i="2"/>
  <c r="J201" i="2"/>
  <c r="H201" i="2"/>
  <c r="F201" i="2"/>
  <c r="E201" i="2"/>
  <c r="D201" i="2"/>
  <c r="C201" i="2"/>
  <c r="B201" i="2"/>
  <c r="A201" i="2"/>
  <c r="T200" i="2"/>
  <c r="S200" i="2"/>
  <c r="R200" i="2"/>
  <c r="Q200" i="2"/>
  <c r="P200" i="2"/>
  <c r="O200" i="2"/>
  <c r="N200" i="2"/>
  <c r="M200" i="2"/>
  <c r="K200" i="2"/>
  <c r="J200" i="2"/>
  <c r="H200" i="2"/>
  <c r="F200" i="2"/>
  <c r="E200" i="2"/>
  <c r="D200" i="2"/>
  <c r="C200" i="2"/>
  <c r="B200" i="2"/>
  <c r="A200" i="2"/>
  <c r="T199" i="2"/>
  <c r="S199" i="2"/>
  <c r="R199" i="2"/>
  <c r="Q199" i="2"/>
  <c r="P199" i="2"/>
  <c r="O199" i="2"/>
  <c r="N199" i="2"/>
  <c r="M199" i="2"/>
  <c r="K199" i="2"/>
  <c r="J199" i="2"/>
  <c r="H199" i="2"/>
  <c r="F199" i="2"/>
  <c r="E199" i="2"/>
  <c r="D199" i="2"/>
  <c r="C199" i="2"/>
  <c r="B199" i="2"/>
  <c r="A199" i="2"/>
  <c r="T198" i="2"/>
  <c r="S198" i="2"/>
  <c r="R198" i="2"/>
  <c r="Q198" i="2"/>
  <c r="P198" i="2"/>
  <c r="O198" i="2"/>
  <c r="N198" i="2"/>
  <c r="M198" i="2"/>
  <c r="K198" i="2"/>
  <c r="J198" i="2"/>
  <c r="H198" i="2"/>
  <c r="F198" i="2"/>
  <c r="E198" i="2"/>
  <c r="D198" i="2"/>
  <c r="C198" i="2"/>
  <c r="B198" i="2"/>
  <c r="A198" i="2"/>
  <c r="T197" i="2"/>
  <c r="S197" i="2"/>
  <c r="R197" i="2"/>
  <c r="Q197" i="2"/>
  <c r="P197" i="2"/>
  <c r="O197" i="2"/>
  <c r="N197" i="2"/>
  <c r="M197" i="2"/>
  <c r="K197" i="2"/>
  <c r="J197" i="2"/>
  <c r="H197" i="2"/>
  <c r="F197" i="2"/>
  <c r="E197" i="2"/>
  <c r="D197" i="2"/>
  <c r="C197" i="2"/>
  <c r="B197" i="2"/>
  <c r="A197" i="2"/>
  <c r="T196" i="2"/>
  <c r="S196" i="2"/>
  <c r="R196" i="2"/>
  <c r="Q196" i="2"/>
  <c r="P196" i="2"/>
  <c r="O196" i="2"/>
  <c r="N196" i="2"/>
  <c r="M196" i="2"/>
  <c r="K196" i="2"/>
  <c r="J196" i="2"/>
  <c r="H196" i="2"/>
  <c r="F196" i="2"/>
  <c r="E196" i="2"/>
  <c r="D196" i="2"/>
  <c r="C196" i="2"/>
  <c r="B196" i="2"/>
  <c r="A196" i="2"/>
  <c r="T195" i="2"/>
  <c r="S195" i="2"/>
  <c r="R195" i="2"/>
  <c r="Q195" i="2"/>
  <c r="P195" i="2"/>
  <c r="O195" i="2"/>
  <c r="N195" i="2"/>
  <c r="M195" i="2"/>
  <c r="L195" i="2"/>
  <c r="K195" i="2"/>
  <c r="J195" i="2"/>
  <c r="H195" i="2"/>
  <c r="F195" i="2"/>
  <c r="E195" i="2"/>
  <c r="D195" i="2"/>
  <c r="C195" i="2"/>
  <c r="B195" i="2"/>
  <c r="A195" i="2"/>
  <c r="T194" i="2"/>
  <c r="S194" i="2"/>
  <c r="R194" i="2"/>
  <c r="Q194" i="2"/>
  <c r="P194" i="2"/>
  <c r="O194" i="2"/>
  <c r="N194" i="2"/>
  <c r="M194" i="2"/>
  <c r="K194" i="2"/>
  <c r="J194" i="2"/>
  <c r="I194" i="2"/>
  <c r="H194" i="2"/>
  <c r="F194" i="2"/>
  <c r="E194" i="2"/>
  <c r="D194" i="2"/>
  <c r="C194" i="2"/>
  <c r="B194" i="2"/>
  <c r="A194" i="2"/>
  <c r="T193" i="2"/>
  <c r="S193" i="2"/>
  <c r="R193" i="2"/>
  <c r="Q193" i="2"/>
  <c r="P193" i="2"/>
  <c r="O193" i="2"/>
  <c r="N193" i="2"/>
  <c r="M193" i="2"/>
  <c r="L193" i="2"/>
  <c r="K193" i="2"/>
  <c r="J193" i="2"/>
  <c r="H193" i="2"/>
  <c r="F193" i="2"/>
  <c r="E193" i="2"/>
  <c r="D193" i="2"/>
  <c r="C193" i="2"/>
  <c r="B193" i="2"/>
  <c r="A193" i="2"/>
  <c r="T192" i="2"/>
  <c r="S192" i="2"/>
  <c r="R192" i="2"/>
  <c r="Q192" i="2"/>
  <c r="P192" i="2"/>
  <c r="O192" i="2"/>
  <c r="N192" i="2"/>
  <c r="M192" i="2"/>
  <c r="K192" i="2"/>
  <c r="J192" i="2"/>
  <c r="I192" i="2"/>
  <c r="H192" i="2"/>
  <c r="F192" i="2"/>
  <c r="E192" i="2"/>
  <c r="D192" i="2"/>
  <c r="C192" i="2"/>
  <c r="B192" i="2"/>
  <c r="A192" i="2"/>
  <c r="T191" i="2"/>
  <c r="S191" i="2"/>
  <c r="R191" i="2"/>
  <c r="Q191" i="2"/>
  <c r="P191" i="2"/>
  <c r="O191" i="2"/>
  <c r="N191" i="2"/>
  <c r="M191" i="2"/>
  <c r="L191" i="2"/>
  <c r="K191" i="2"/>
  <c r="J191" i="2"/>
  <c r="H191" i="2"/>
  <c r="F191" i="2"/>
  <c r="E191" i="2"/>
  <c r="D191" i="2"/>
  <c r="C191" i="2"/>
  <c r="B191" i="2"/>
  <c r="A191" i="2"/>
  <c r="T190" i="2"/>
  <c r="S190" i="2"/>
  <c r="R190" i="2"/>
  <c r="Q190" i="2"/>
  <c r="P190" i="2"/>
  <c r="O190" i="2"/>
  <c r="N190" i="2"/>
  <c r="L190" i="2"/>
  <c r="H190" i="2"/>
  <c r="G190" i="2"/>
  <c r="F190" i="2"/>
  <c r="E190" i="2"/>
  <c r="D190" i="2"/>
  <c r="C190" i="2"/>
  <c r="B190" i="2"/>
  <c r="A190" i="2"/>
  <c r="T189" i="2"/>
  <c r="S189" i="2"/>
  <c r="R189" i="2"/>
  <c r="Q189" i="2"/>
  <c r="P189" i="2"/>
  <c r="O189" i="2"/>
  <c r="N189" i="2"/>
  <c r="M189" i="2"/>
  <c r="L189" i="2"/>
  <c r="H189" i="2"/>
  <c r="G189" i="2"/>
  <c r="F189" i="2"/>
  <c r="E189" i="2"/>
  <c r="C189" i="2"/>
  <c r="B189" i="2"/>
  <c r="A189" i="2"/>
  <c r="T188" i="2"/>
  <c r="S188" i="2"/>
  <c r="R188" i="2"/>
  <c r="Q188" i="2"/>
  <c r="P188" i="2"/>
  <c r="O188" i="2"/>
  <c r="N188" i="2"/>
  <c r="M188" i="2"/>
  <c r="L188" i="2"/>
  <c r="K188" i="2"/>
  <c r="J188" i="2"/>
  <c r="I188" i="2"/>
  <c r="H188" i="2"/>
  <c r="G188" i="2"/>
  <c r="F188" i="2"/>
  <c r="E188" i="2"/>
  <c r="D188" i="2"/>
  <c r="C188" i="2"/>
  <c r="B188" i="2"/>
  <c r="A188" i="2"/>
  <c r="T187" i="2"/>
  <c r="S187" i="2"/>
  <c r="R187" i="2"/>
  <c r="Q187" i="2"/>
  <c r="P187" i="2"/>
  <c r="O187" i="2"/>
  <c r="N187" i="2"/>
  <c r="M187" i="2"/>
  <c r="L187" i="2"/>
  <c r="H187" i="2"/>
  <c r="G187" i="2"/>
  <c r="F187" i="2"/>
  <c r="E187" i="2"/>
  <c r="D187" i="2"/>
  <c r="C187" i="2"/>
  <c r="B187" i="2"/>
  <c r="A187" i="2"/>
  <c r="T186" i="2"/>
  <c r="S186" i="2"/>
  <c r="R186" i="2"/>
  <c r="Q186" i="2"/>
  <c r="P186" i="2"/>
  <c r="O186" i="2"/>
  <c r="N186" i="2"/>
  <c r="M186" i="2"/>
  <c r="L186" i="2"/>
  <c r="K186" i="2"/>
  <c r="J186" i="2"/>
  <c r="I186" i="2"/>
  <c r="H186" i="2"/>
  <c r="G186" i="2"/>
  <c r="F186" i="2"/>
  <c r="E186" i="2"/>
  <c r="D186" i="2"/>
  <c r="C186" i="2"/>
  <c r="B186" i="2"/>
  <c r="A186" i="2"/>
  <c r="T185" i="2"/>
  <c r="S185" i="2"/>
  <c r="R185" i="2"/>
  <c r="Q185" i="2"/>
  <c r="P185" i="2"/>
  <c r="O185" i="2"/>
  <c r="N185" i="2"/>
  <c r="M185" i="2"/>
  <c r="L185" i="2"/>
  <c r="K185" i="2"/>
  <c r="J185" i="2"/>
  <c r="I185" i="2"/>
  <c r="H185" i="2"/>
  <c r="G185" i="2"/>
  <c r="F185" i="2"/>
  <c r="E185" i="2"/>
  <c r="D185" i="2"/>
  <c r="C185" i="2"/>
  <c r="B185" i="2"/>
  <c r="A185" i="2"/>
  <c r="T184" i="2"/>
  <c r="S184" i="2"/>
  <c r="R184" i="2"/>
  <c r="Q184" i="2"/>
  <c r="P184" i="2"/>
  <c r="O184" i="2"/>
  <c r="N184" i="2"/>
  <c r="M184" i="2"/>
  <c r="L184" i="2"/>
  <c r="K184" i="2"/>
  <c r="J184" i="2"/>
  <c r="I184" i="2"/>
  <c r="H184" i="2"/>
  <c r="G184" i="2"/>
  <c r="F184" i="2"/>
  <c r="E184" i="2"/>
  <c r="D184" i="2"/>
  <c r="C184" i="2"/>
  <c r="B184" i="2"/>
  <c r="A184" i="2"/>
  <c r="T183" i="2"/>
  <c r="S183" i="2"/>
  <c r="R183" i="2"/>
  <c r="Q183" i="2"/>
  <c r="P183" i="2"/>
  <c r="O183" i="2"/>
  <c r="N183" i="2"/>
  <c r="M183" i="2"/>
  <c r="L183" i="2"/>
  <c r="K183" i="2"/>
  <c r="J183" i="2"/>
  <c r="I183" i="2"/>
  <c r="H183" i="2"/>
  <c r="G183" i="2"/>
  <c r="F183" i="2"/>
  <c r="E183" i="2"/>
  <c r="D183" i="2"/>
  <c r="C183" i="2"/>
  <c r="B183" i="2"/>
  <c r="A183" i="2"/>
  <c r="T182" i="2"/>
  <c r="S182" i="2"/>
  <c r="R182" i="2"/>
  <c r="Q182" i="2"/>
  <c r="P182" i="2"/>
  <c r="O182" i="2"/>
  <c r="N182" i="2"/>
  <c r="M182" i="2"/>
  <c r="L182" i="2"/>
  <c r="K182" i="2"/>
  <c r="J182" i="2"/>
  <c r="I182" i="2"/>
  <c r="H182" i="2"/>
  <c r="G182" i="2"/>
  <c r="F182" i="2"/>
  <c r="E182" i="2"/>
  <c r="D182" i="2"/>
  <c r="C182" i="2"/>
  <c r="B182" i="2"/>
  <c r="A182" i="2"/>
  <c r="S181" i="2"/>
  <c r="R181" i="2"/>
  <c r="P181" i="2"/>
  <c r="O181" i="2"/>
  <c r="M181" i="2"/>
  <c r="L181" i="2"/>
  <c r="H181" i="2"/>
  <c r="G181" i="2"/>
  <c r="F181" i="2"/>
  <c r="E181" i="2"/>
  <c r="D181" i="2"/>
  <c r="C181" i="2"/>
  <c r="B181" i="2"/>
  <c r="A181" i="2"/>
  <c r="S180" i="2"/>
  <c r="R180" i="2"/>
  <c r="P180" i="2"/>
  <c r="O180" i="2"/>
  <c r="M180" i="2"/>
  <c r="L180" i="2"/>
  <c r="H180" i="2"/>
  <c r="G180" i="2"/>
  <c r="F180" i="2"/>
  <c r="E180" i="2"/>
  <c r="D180" i="2"/>
  <c r="C180" i="2"/>
  <c r="B180" i="2"/>
  <c r="A180" i="2"/>
  <c r="T179" i="2"/>
  <c r="S179" i="2"/>
  <c r="R179" i="2"/>
  <c r="Q179" i="2"/>
  <c r="P179" i="2"/>
  <c r="O179" i="2"/>
  <c r="N179" i="2"/>
  <c r="M179" i="2"/>
  <c r="L179" i="2"/>
  <c r="H179" i="2"/>
  <c r="G179" i="2"/>
  <c r="F179" i="2"/>
  <c r="E179" i="2"/>
  <c r="D179" i="2"/>
  <c r="C179" i="2"/>
  <c r="B179" i="2"/>
  <c r="A179" i="2"/>
  <c r="T178" i="2"/>
  <c r="S178" i="2"/>
  <c r="R178" i="2"/>
  <c r="Q178" i="2"/>
  <c r="P178" i="2"/>
  <c r="O178" i="2"/>
  <c r="N178" i="2"/>
  <c r="M178" i="2"/>
  <c r="L178" i="2"/>
  <c r="H178" i="2"/>
  <c r="G178" i="2"/>
  <c r="F178" i="2"/>
  <c r="E178" i="2"/>
  <c r="D178" i="2"/>
  <c r="C178" i="2"/>
  <c r="B178" i="2"/>
  <c r="A178" i="2"/>
  <c r="T177" i="2"/>
  <c r="S177" i="2"/>
  <c r="R177" i="2"/>
  <c r="Q177" i="2"/>
  <c r="P177" i="2"/>
  <c r="O177" i="2"/>
  <c r="N177" i="2"/>
  <c r="M177" i="2"/>
  <c r="L177" i="2"/>
  <c r="K177" i="2"/>
  <c r="J177" i="2"/>
  <c r="I177" i="2"/>
  <c r="H177" i="2"/>
  <c r="G177" i="2"/>
  <c r="F177" i="2"/>
  <c r="E177" i="2"/>
  <c r="D177" i="2"/>
  <c r="C177" i="2"/>
  <c r="B177" i="2"/>
  <c r="A177" i="2"/>
  <c r="T176" i="2"/>
  <c r="S176" i="2"/>
  <c r="R176" i="2"/>
  <c r="Q176" i="2"/>
  <c r="P176" i="2"/>
  <c r="O176" i="2"/>
  <c r="N176" i="2"/>
  <c r="M176" i="2"/>
  <c r="L176" i="2"/>
  <c r="K176" i="2"/>
  <c r="J176" i="2"/>
  <c r="I176" i="2"/>
  <c r="H176" i="2"/>
  <c r="G176" i="2"/>
  <c r="F176" i="2"/>
  <c r="E176" i="2"/>
  <c r="D176" i="2"/>
  <c r="C176" i="2"/>
  <c r="B176" i="2"/>
  <c r="A176" i="2"/>
  <c r="T175" i="2"/>
  <c r="S175" i="2"/>
  <c r="R175" i="2"/>
  <c r="Q175" i="2"/>
  <c r="P175" i="2"/>
  <c r="O175" i="2"/>
  <c r="N175" i="2"/>
  <c r="M175" i="2"/>
  <c r="L175" i="2"/>
  <c r="K175" i="2"/>
  <c r="J175" i="2"/>
  <c r="I175" i="2"/>
  <c r="H175" i="2"/>
  <c r="G175" i="2"/>
  <c r="F175" i="2"/>
  <c r="E175" i="2"/>
  <c r="D175" i="2"/>
  <c r="C175" i="2"/>
  <c r="B175" i="2"/>
  <c r="A175" i="2"/>
  <c r="T174" i="2"/>
  <c r="S174" i="2"/>
  <c r="R174" i="2"/>
  <c r="Q174" i="2"/>
  <c r="P174" i="2"/>
  <c r="O174" i="2"/>
  <c r="N174" i="2"/>
  <c r="M174" i="2"/>
  <c r="L174" i="2"/>
  <c r="K174" i="2"/>
  <c r="J174" i="2"/>
  <c r="I174" i="2"/>
  <c r="H174" i="2"/>
  <c r="G174" i="2"/>
  <c r="F174" i="2"/>
  <c r="E174" i="2"/>
  <c r="D174" i="2"/>
  <c r="C174" i="2"/>
  <c r="B174" i="2"/>
  <c r="A174" i="2"/>
  <c r="T173" i="2"/>
  <c r="S173" i="2"/>
  <c r="R173" i="2"/>
  <c r="Q173" i="2"/>
  <c r="P173" i="2"/>
  <c r="O173" i="2"/>
  <c r="N173" i="2"/>
  <c r="L173" i="2"/>
  <c r="K173" i="2"/>
  <c r="J173" i="2"/>
  <c r="I173" i="2"/>
  <c r="H173" i="2"/>
  <c r="G173" i="2"/>
  <c r="F173" i="2"/>
  <c r="E173" i="2"/>
  <c r="D173" i="2"/>
  <c r="C173" i="2"/>
  <c r="B173" i="2"/>
  <c r="A173" i="2"/>
  <c r="T172" i="2"/>
  <c r="S172" i="2"/>
  <c r="R172" i="2"/>
  <c r="Q172" i="2"/>
  <c r="P172" i="2"/>
  <c r="O172" i="2"/>
  <c r="N172" i="2"/>
  <c r="M172" i="2"/>
  <c r="L172" i="2"/>
  <c r="K172" i="2"/>
  <c r="J172" i="2"/>
  <c r="I172" i="2"/>
  <c r="H172" i="2"/>
  <c r="G172" i="2"/>
  <c r="F172" i="2"/>
  <c r="E172" i="2"/>
  <c r="D172" i="2"/>
  <c r="C172" i="2"/>
  <c r="B172" i="2"/>
  <c r="A172" i="2"/>
  <c r="T171" i="2"/>
  <c r="S171" i="2"/>
  <c r="R171" i="2"/>
  <c r="Q171" i="2"/>
  <c r="P171" i="2"/>
  <c r="O171" i="2"/>
  <c r="N171" i="2"/>
  <c r="L171" i="2"/>
  <c r="K171" i="2"/>
  <c r="J171" i="2"/>
  <c r="I171" i="2"/>
  <c r="H171" i="2"/>
  <c r="G171" i="2"/>
  <c r="F171" i="2"/>
  <c r="E171" i="2"/>
  <c r="D171" i="2"/>
  <c r="C171" i="2"/>
  <c r="B171" i="2"/>
  <c r="A171" i="2"/>
  <c r="T170" i="2"/>
  <c r="S170" i="2"/>
  <c r="R170" i="2"/>
  <c r="Q170" i="2"/>
  <c r="P170" i="2"/>
  <c r="O170" i="2"/>
  <c r="N170" i="2"/>
  <c r="M170" i="2"/>
  <c r="L170" i="2"/>
  <c r="K170" i="2"/>
  <c r="J170" i="2"/>
  <c r="I170" i="2"/>
  <c r="H170" i="2"/>
  <c r="G170" i="2"/>
  <c r="F170" i="2"/>
  <c r="E170" i="2"/>
  <c r="D170" i="2"/>
  <c r="C170" i="2"/>
  <c r="B170" i="2"/>
  <c r="A170" i="2"/>
  <c r="T169" i="2"/>
  <c r="S169" i="2"/>
  <c r="R169" i="2"/>
  <c r="Q169" i="2"/>
  <c r="P169" i="2"/>
  <c r="O169" i="2"/>
  <c r="N169" i="2"/>
  <c r="M169" i="2"/>
  <c r="L169" i="2"/>
  <c r="K169" i="2"/>
  <c r="J169" i="2"/>
  <c r="I169" i="2"/>
  <c r="H169" i="2"/>
  <c r="G169" i="2"/>
  <c r="F169" i="2"/>
  <c r="E169" i="2"/>
  <c r="D169" i="2"/>
  <c r="C169" i="2"/>
  <c r="B169" i="2"/>
  <c r="A169" i="2"/>
  <c r="T168" i="2"/>
  <c r="S168" i="2"/>
  <c r="R168" i="2"/>
  <c r="Q168" i="2"/>
  <c r="P168" i="2"/>
  <c r="O168" i="2"/>
  <c r="N168" i="2"/>
  <c r="M168" i="2"/>
  <c r="L168" i="2"/>
  <c r="K168" i="2"/>
  <c r="J168" i="2"/>
  <c r="I168" i="2"/>
  <c r="H168" i="2"/>
  <c r="G168" i="2"/>
  <c r="F168" i="2"/>
  <c r="E168" i="2"/>
  <c r="D168" i="2"/>
  <c r="C168" i="2"/>
  <c r="B168" i="2"/>
  <c r="A168" i="2"/>
  <c r="T167" i="2"/>
  <c r="S167" i="2"/>
  <c r="R167" i="2"/>
  <c r="Q167" i="2"/>
  <c r="P167" i="2"/>
  <c r="O167" i="2"/>
  <c r="N167" i="2"/>
  <c r="M167" i="2"/>
  <c r="L167" i="2"/>
  <c r="K167" i="2"/>
  <c r="J167" i="2"/>
  <c r="I167" i="2"/>
  <c r="H167" i="2"/>
  <c r="G167" i="2"/>
  <c r="F167" i="2"/>
  <c r="E167" i="2"/>
  <c r="D167" i="2"/>
  <c r="C167" i="2"/>
  <c r="B167" i="2"/>
  <c r="A167" i="2"/>
  <c r="T166" i="2"/>
  <c r="S166" i="2"/>
  <c r="R166" i="2"/>
  <c r="Q166" i="2"/>
  <c r="P166" i="2"/>
  <c r="O166" i="2"/>
  <c r="N166" i="2"/>
  <c r="M166" i="2"/>
  <c r="L166" i="2"/>
  <c r="K166" i="2"/>
  <c r="J166" i="2"/>
  <c r="I166" i="2"/>
  <c r="H166" i="2"/>
  <c r="G166" i="2"/>
  <c r="F166" i="2"/>
  <c r="E166" i="2"/>
  <c r="D166" i="2"/>
  <c r="C166" i="2"/>
  <c r="B166" i="2"/>
  <c r="A166" i="2"/>
  <c r="F165" i="2"/>
  <c r="E165" i="2"/>
  <c r="D165" i="2"/>
  <c r="F164" i="2"/>
  <c r="E164" i="2"/>
  <c r="D164" i="2"/>
  <c r="C164" i="2"/>
  <c r="B164" i="2"/>
  <c r="A164" i="2"/>
  <c r="F163" i="2"/>
  <c r="E163" i="2"/>
  <c r="D163" i="2"/>
  <c r="C163" i="2"/>
  <c r="B163" i="2"/>
  <c r="A163" i="2"/>
  <c r="F162" i="2"/>
  <c r="E162" i="2"/>
  <c r="D162" i="2"/>
  <c r="F161" i="2"/>
  <c r="E161" i="2"/>
  <c r="D161" i="2"/>
  <c r="F160" i="2"/>
  <c r="E160" i="2"/>
  <c r="D160" i="2"/>
  <c r="C160" i="2"/>
  <c r="B160" i="2"/>
  <c r="A160" i="2"/>
  <c r="F159" i="2"/>
  <c r="E159" i="2"/>
  <c r="D159" i="2"/>
  <c r="F158" i="2"/>
  <c r="E158" i="2"/>
  <c r="D158" i="2"/>
  <c r="F157" i="2"/>
  <c r="E157" i="2"/>
  <c r="D157" i="2"/>
  <c r="C157" i="2"/>
  <c r="B157" i="2"/>
  <c r="A157" i="2"/>
  <c r="T156" i="2"/>
  <c r="S156" i="2"/>
  <c r="R156" i="2"/>
  <c r="Q156" i="2"/>
  <c r="P156" i="2"/>
  <c r="O156" i="2"/>
  <c r="N156" i="2"/>
  <c r="M156" i="2"/>
  <c r="L156" i="2"/>
  <c r="K156" i="2"/>
  <c r="J156" i="2"/>
  <c r="I156" i="2"/>
  <c r="H156" i="2"/>
  <c r="G156" i="2"/>
  <c r="F156" i="2"/>
  <c r="E156" i="2"/>
  <c r="D156" i="2"/>
  <c r="C156" i="2"/>
  <c r="B156" i="2"/>
  <c r="A156" i="2"/>
  <c r="T155" i="2"/>
  <c r="S155" i="2"/>
  <c r="R155" i="2"/>
  <c r="Q155" i="2"/>
  <c r="P155" i="2"/>
  <c r="O155" i="2"/>
  <c r="N155" i="2"/>
  <c r="M155" i="2"/>
  <c r="L155" i="2"/>
  <c r="K155" i="2"/>
  <c r="J155" i="2"/>
  <c r="I155" i="2"/>
  <c r="H155" i="2"/>
  <c r="G155" i="2"/>
  <c r="F155" i="2"/>
  <c r="E155" i="2"/>
  <c r="D155" i="2"/>
  <c r="C155" i="2"/>
  <c r="B155" i="2"/>
  <c r="A155" i="2"/>
  <c r="T154" i="2"/>
  <c r="S154" i="2"/>
  <c r="R154" i="2"/>
  <c r="Q154" i="2"/>
  <c r="P154" i="2"/>
  <c r="O154" i="2"/>
  <c r="N154" i="2"/>
  <c r="M154" i="2"/>
  <c r="L154" i="2"/>
  <c r="K154" i="2"/>
  <c r="J154" i="2"/>
  <c r="I154" i="2"/>
  <c r="H154" i="2"/>
  <c r="G154" i="2"/>
  <c r="F154" i="2"/>
  <c r="E154" i="2"/>
  <c r="D154" i="2"/>
  <c r="C154" i="2"/>
  <c r="B154" i="2"/>
  <c r="A154" i="2"/>
  <c r="T153" i="2"/>
  <c r="S153" i="2"/>
  <c r="R153" i="2"/>
  <c r="Q153" i="2"/>
  <c r="P153" i="2"/>
  <c r="O153" i="2"/>
  <c r="N153" i="2"/>
  <c r="M153" i="2"/>
  <c r="L153" i="2"/>
  <c r="K153" i="2"/>
  <c r="J153" i="2"/>
  <c r="I153" i="2"/>
  <c r="H153" i="2"/>
  <c r="G153" i="2"/>
  <c r="F153" i="2"/>
  <c r="E153" i="2"/>
  <c r="D153" i="2"/>
  <c r="C153" i="2"/>
  <c r="B153" i="2"/>
  <c r="A153" i="2"/>
  <c r="T152" i="2"/>
  <c r="S152" i="2"/>
  <c r="R152" i="2"/>
  <c r="Q152" i="2"/>
  <c r="P152" i="2"/>
  <c r="O152" i="2"/>
  <c r="N152" i="2"/>
  <c r="M152" i="2"/>
  <c r="L152" i="2"/>
  <c r="K152" i="2"/>
  <c r="J152" i="2"/>
  <c r="I152" i="2"/>
  <c r="H152" i="2"/>
  <c r="G152" i="2"/>
  <c r="F152" i="2"/>
  <c r="E152" i="2"/>
  <c r="D152" i="2"/>
  <c r="C152" i="2"/>
  <c r="B152" i="2"/>
  <c r="A152" i="2"/>
  <c r="T151" i="2"/>
  <c r="S151" i="2"/>
  <c r="R151" i="2"/>
  <c r="Q151" i="2"/>
  <c r="P151" i="2"/>
  <c r="O151" i="2"/>
  <c r="N151" i="2"/>
  <c r="M151" i="2"/>
  <c r="L151" i="2"/>
  <c r="K151" i="2"/>
  <c r="J151" i="2"/>
  <c r="I151" i="2"/>
  <c r="H151" i="2"/>
  <c r="G151" i="2"/>
  <c r="F151" i="2"/>
  <c r="E151" i="2"/>
  <c r="D151" i="2"/>
  <c r="C151" i="2"/>
  <c r="B151" i="2"/>
  <c r="A151" i="2"/>
  <c r="T150" i="2"/>
  <c r="S150" i="2"/>
  <c r="R150" i="2"/>
  <c r="Q150" i="2"/>
  <c r="P150" i="2"/>
  <c r="O150" i="2"/>
  <c r="N150" i="2"/>
  <c r="M150" i="2"/>
  <c r="L150" i="2"/>
  <c r="K150" i="2"/>
  <c r="J150" i="2"/>
  <c r="I150" i="2"/>
  <c r="H150" i="2"/>
  <c r="G150" i="2"/>
  <c r="F150" i="2"/>
  <c r="E150" i="2"/>
  <c r="D150" i="2"/>
  <c r="C150" i="2"/>
  <c r="B150" i="2"/>
  <c r="A150" i="2"/>
  <c r="T149" i="2"/>
  <c r="S149" i="2"/>
  <c r="R149" i="2"/>
  <c r="Q149" i="2"/>
  <c r="P149" i="2"/>
  <c r="O149" i="2"/>
  <c r="N149" i="2"/>
  <c r="L149" i="2"/>
  <c r="K149" i="2"/>
  <c r="J149" i="2"/>
  <c r="I149" i="2"/>
  <c r="H149" i="2"/>
  <c r="G149" i="2"/>
  <c r="F149" i="2"/>
  <c r="E149" i="2"/>
  <c r="D149" i="2"/>
  <c r="C149" i="2"/>
  <c r="B149" i="2"/>
  <c r="A149" i="2"/>
  <c r="T148" i="2"/>
  <c r="S148" i="2"/>
  <c r="R148" i="2"/>
  <c r="Q148" i="2"/>
  <c r="P148" i="2"/>
  <c r="O148" i="2"/>
  <c r="N148" i="2"/>
  <c r="M148" i="2"/>
  <c r="L148" i="2"/>
  <c r="K148" i="2"/>
  <c r="J148" i="2"/>
  <c r="I148" i="2"/>
  <c r="H148" i="2"/>
  <c r="G148" i="2"/>
  <c r="F148" i="2"/>
  <c r="E148" i="2"/>
  <c r="D148" i="2"/>
  <c r="C148" i="2"/>
  <c r="B148" i="2"/>
  <c r="A148" i="2"/>
  <c r="T147" i="2"/>
  <c r="S147" i="2"/>
  <c r="R147" i="2"/>
  <c r="Q147" i="2"/>
  <c r="P147" i="2"/>
  <c r="O147" i="2"/>
  <c r="N147" i="2"/>
  <c r="M147" i="2"/>
  <c r="L147" i="2"/>
  <c r="K147" i="2"/>
  <c r="J147" i="2"/>
  <c r="I147" i="2"/>
  <c r="H147" i="2"/>
  <c r="G147" i="2"/>
  <c r="F147" i="2"/>
  <c r="E147" i="2"/>
  <c r="D147" i="2"/>
  <c r="C147" i="2"/>
  <c r="B147" i="2"/>
  <c r="A147" i="2"/>
  <c r="T146" i="2"/>
  <c r="S146" i="2"/>
  <c r="R146" i="2"/>
  <c r="Q146" i="2"/>
  <c r="P146" i="2"/>
  <c r="O146" i="2"/>
  <c r="N146" i="2"/>
  <c r="L146" i="2"/>
  <c r="I146" i="2"/>
  <c r="H146" i="2"/>
  <c r="G146" i="2"/>
  <c r="F146" i="2"/>
  <c r="E146" i="2"/>
  <c r="D146" i="2"/>
  <c r="C146" i="2"/>
  <c r="B146" i="2"/>
  <c r="A146" i="2"/>
  <c r="T145" i="2"/>
  <c r="S145" i="2"/>
  <c r="R145" i="2"/>
  <c r="Q145" i="2"/>
  <c r="P145" i="2"/>
  <c r="O145" i="2"/>
  <c r="N145" i="2"/>
  <c r="M145" i="2"/>
  <c r="L145" i="2"/>
  <c r="K145" i="2"/>
  <c r="J145" i="2"/>
  <c r="I145" i="2"/>
  <c r="H145" i="2"/>
  <c r="G145" i="2"/>
  <c r="F145" i="2"/>
  <c r="E145" i="2"/>
  <c r="D145" i="2"/>
  <c r="C145" i="2"/>
  <c r="B145" i="2"/>
  <c r="A145" i="2"/>
  <c r="T144" i="2"/>
  <c r="S144" i="2"/>
  <c r="R144" i="2"/>
  <c r="Q144" i="2"/>
  <c r="P144" i="2"/>
  <c r="O144" i="2"/>
  <c r="N144" i="2"/>
  <c r="M144" i="2"/>
  <c r="L144" i="2"/>
  <c r="K144" i="2"/>
  <c r="J144" i="2"/>
  <c r="I144" i="2"/>
  <c r="H144" i="2"/>
  <c r="G144" i="2"/>
  <c r="F144" i="2"/>
  <c r="E144" i="2"/>
  <c r="D144" i="2"/>
  <c r="C144" i="2"/>
  <c r="B144" i="2"/>
  <c r="A144" i="2"/>
  <c r="T143" i="2"/>
  <c r="S143" i="2"/>
  <c r="R143" i="2"/>
  <c r="Q143" i="2"/>
  <c r="P143" i="2"/>
  <c r="O143" i="2"/>
  <c r="N143" i="2"/>
  <c r="M143" i="2"/>
  <c r="L143" i="2"/>
  <c r="K143" i="2"/>
  <c r="J143" i="2"/>
  <c r="I143" i="2"/>
  <c r="H143" i="2"/>
  <c r="G143" i="2"/>
  <c r="F143" i="2"/>
  <c r="E143" i="2"/>
  <c r="D143" i="2"/>
  <c r="C143" i="2"/>
  <c r="B143" i="2"/>
  <c r="A143" i="2"/>
  <c r="T142" i="2"/>
  <c r="S142" i="2"/>
  <c r="R142" i="2"/>
  <c r="Q142" i="2"/>
  <c r="P142" i="2"/>
  <c r="O142" i="2"/>
  <c r="N142" i="2"/>
  <c r="M142" i="2"/>
  <c r="L142" i="2"/>
  <c r="K142" i="2"/>
  <c r="J142" i="2"/>
  <c r="I142" i="2"/>
  <c r="H142" i="2"/>
  <c r="G142" i="2"/>
  <c r="F142" i="2"/>
  <c r="E142" i="2"/>
  <c r="D142" i="2"/>
  <c r="C142" i="2"/>
  <c r="B142" i="2"/>
  <c r="A142" i="2"/>
  <c r="T141" i="2"/>
  <c r="S141" i="2"/>
  <c r="R141" i="2"/>
  <c r="Q141" i="2"/>
  <c r="P141" i="2"/>
  <c r="O141" i="2"/>
  <c r="N141" i="2"/>
  <c r="M141" i="2"/>
  <c r="L141" i="2"/>
  <c r="K141" i="2"/>
  <c r="J141" i="2"/>
  <c r="I141" i="2"/>
  <c r="H141" i="2"/>
  <c r="G141" i="2"/>
  <c r="F141" i="2"/>
  <c r="E141" i="2"/>
  <c r="D141" i="2"/>
  <c r="C141" i="2"/>
  <c r="B141" i="2"/>
  <c r="A141" i="2"/>
  <c r="T140" i="2"/>
  <c r="S140" i="2"/>
  <c r="R140" i="2"/>
  <c r="Q140" i="2"/>
  <c r="P140" i="2"/>
  <c r="O140" i="2"/>
  <c r="N140" i="2"/>
  <c r="M140" i="2"/>
  <c r="L140" i="2"/>
  <c r="K140" i="2"/>
  <c r="J140" i="2"/>
  <c r="I140" i="2"/>
  <c r="H140" i="2"/>
  <c r="G140" i="2"/>
  <c r="F140" i="2"/>
  <c r="E140" i="2"/>
  <c r="D140" i="2"/>
  <c r="C140" i="2"/>
  <c r="B140" i="2"/>
  <c r="A140" i="2"/>
  <c r="T139" i="2"/>
  <c r="S139" i="2"/>
  <c r="R139" i="2"/>
  <c r="Q139" i="2"/>
  <c r="P139" i="2"/>
  <c r="O139" i="2"/>
  <c r="M139" i="2"/>
  <c r="L139" i="2"/>
  <c r="H139" i="2"/>
  <c r="G139" i="2"/>
  <c r="F139" i="2"/>
  <c r="E139" i="2"/>
  <c r="D139" i="2"/>
  <c r="C139" i="2"/>
  <c r="B139" i="2"/>
  <c r="A139" i="2"/>
  <c r="T138" i="2"/>
  <c r="S138" i="2"/>
  <c r="R138" i="2"/>
  <c r="Q138" i="2"/>
  <c r="P138" i="2"/>
  <c r="O138" i="2"/>
  <c r="M138" i="2"/>
  <c r="L138" i="2"/>
  <c r="K138" i="2"/>
  <c r="J138" i="2"/>
  <c r="I138" i="2"/>
  <c r="H138" i="2"/>
  <c r="G138" i="2"/>
  <c r="F138" i="2"/>
  <c r="E138" i="2"/>
  <c r="D138" i="2"/>
  <c r="C138" i="2"/>
  <c r="B138" i="2"/>
  <c r="A138" i="2"/>
  <c r="T137" i="2"/>
  <c r="S137" i="2"/>
  <c r="R137" i="2"/>
  <c r="Q137" i="2"/>
  <c r="P137" i="2"/>
  <c r="O137" i="2"/>
  <c r="M137" i="2"/>
  <c r="L137" i="2"/>
  <c r="K137" i="2"/>
  <c r="J137" i="2"/>
  <c r="I137" i="2"/>
  <c r="H137" i="2"/>
  <c r="G137" i="2"/>
  <c r="F137" i="2"/>
  <c r="E137" i="2"/>
  <c r="D137" i="2"/>
  <c r="C137" i="2"/>
  <c r="B137" i="2"/>
  <c r="A137" i="2"/>
  <c r="T136" i="2"/>
  <c r="S136" i="2"/>
  <c r="R136" i="2"/>
  <c r="Q136" i="2"/>
  <c r="P136" i="2"/>
  <c r="O136" i="2"/>
  <c r="M136" i="2"/>
  <c r="L136" i="2"/>
  <c r="K136" i="2"/>
  <c r="J136" i="2"/>
  <c r="I136" i="2"/>
  <c r="H136" i="2"/>
  <c r="G136" i="2"/>
  <c r="F136" i="2"/>
  <c r="E136" i="2"/>
  <c r="D136" i="2"/>
  <c r="C136" i="2"/>
  <c r="B136" i="2"/>
  <c r="A136" i="2"/>
  <c r="T135" i="2"/>
  <c r="S135" i="2"/>
  <c r="R135" i="2"/>
  <c r="Q135" i="2"/>
  <c r="P135" i="2"/>
  <c r="O135" i="2"/>
  <c r="M135" i="2"/>
  <c r="L135" i="2"/>
  <c r="K135" i="2"/>
  <c r="J135" i="2"/>
  <c r="I135" i="2"/>
  <c r="H135" i="2"/>
  <c r="G135" i="2"/>
  <c r="F135" i="2"/>
  <c r="E135" i="2"/>
  <c r="D135" i="2"/>
  <c r="C135" i="2"/>
  <c r="B135" i="2"/>
  <c r="A135" i="2"/>
  <c r="T134" i="2"/>
  <c r="S134" i="2"/>
  <c r="R134" i="2"/>
  <c r="Q134" i="2"/>
  <c r="P134" i="2"/>
  <c r="O134" i="2"/>
  <c r="M134" i="2"/>
  <c r="L134" i="2"/>
  <c r="K134" i="2"/>
  <c r="J134" i="2"/>
  <c r="I134" i="2"/>
  <c r="H134" i="2"/>
  <c r="G134" i="2"/>
  <c r="F134" i="2"/>
  <c r="E134" i="2"/>
  <c r="D134" i="2"/>
  <c r="C134" i="2"/>
  <c r="B134" i="2"/>
  <c r="A134" i="2"/>
  <c r="T133" i="2"/>
  <c r="S133" i="2"/>
  <c r="R133" i="2"/>
  <c r="Q133" i="2"/>
  <c r="P133" i="2"/>
  <c r="O133" i="2"/>
  <c r="M133" i="2"/>
  <c r="L133" i="2"/>
  <c r="K133" i="2"/>
  <c r="J133" i="2"/>
  <c r="I133" i="2"/>
  <c r="H133" i="2"/>
  <c r="G133" i="2"/>
  <c r="F133" i="2"/>
  <c r="E133" i="2"/>
  <c r="D133" i="2"/>
  <c r="C133" i="2"/>
  <c r="B133" i="2"/>
  <c r="A133" i="2"/>
  <c r="T132" i="2"/>
  <c r="S132" i="2"/>
  <c r="R132" i="2"/>
  <c r="Q132" i="2"/>
  <c r="P132" i="2"/>
  <c r="O132" i="2"/>
  <c r="M132" i="2"/>
  <c r="L132" i="2"/>
  <c r="K132" i="2"/>
  <c r="J132" i="2"/>
  <c r="I132" i="2"/>
  <c r="H132" i="2"/>
  <c r="G132" i="2"/>
  <c r="F132" i="2"/>
  <c r="E132" i="2"/>
  <c r="D132" i="2"/>
  <c r="C132" i="2"/>
  <c r="B132" i="2"/>
  <c r="A132" i="2"/>
  <c r="T131" i="2"/>
  <c r="S131" i="2"/>
  <c r="R131" i="2"/>
  <c r="Q131" i="2"/>
  <c r="P131" i="2"/>
  <c r="O131" i="2"/>
  <c r="M131" i="2"/>
  <c r="L131" i="2"/>
  <c r="K131" i="2"/>
  <c r="J131" i="2"/>
  <c r="I131" i="2"/>
  <c r="H131" i="2"/>
  <c r="G131" i="2"/>
  <c r="F131" i="2"/>
  <c r="E131" i="2"/>
  <c r="D131" i="2"/>
  <c r="C131" i="2"/>
  <c r="B131" i="2"/>
  <c r="A131" i="2"/>
  <c r="T130" i="2"/>
  <c r="S130" i="2"/>
  <c r="R130" i="2"/>
  <c r="Q130" i="2"/>
  <c r="P130" i="2"/>
  <c r="O130" i="2"/>
  <c r="M130" i="2"/>
  <c r="L130" i="2"/>
  <c r="K130" i="2"/>
  <c r="J130" i="2"/>
  <c r="I130" i="2"/>
  <c r="H130" i="2"/>
  <c r="G130" i="2"/>
  <c r="F130" i="2"/>
  <c r="E130" i="2"/>
  <c r="D130" i="2"/>
  <c r="C130" i="2"/>
  <c r="B130" i="2"/>
  <c r="A130" i="2"/>
  <c r="T129" i="2"/>
  <c r="S129" i="2"/>
  <c r="R129" i="2"/>
  <c r="Q129" i="2"/>
  <c r="P129" i="2"/>
  <c r="O129" i="2"/>
  <c r="M129" i="2"/>
  <c r="L129" i="2"/>
  <c r="K129" i="2"/>
  <c r="J129" i="2"/>
  <c r="I129" i="2"/>
  <c r="H129" i="2"/>
  <c r="G129" i="2"/>
  <c r="F129" i="2"/>
  <c r="E129" i="2"/>
  <c r="D129" i="2"/>
  <c r="C129" i="2"/>
  <c r="B129" i="2"/>
  <c r="A129" i="2"/>
  <c r="T128" i="2"/>
  <c r="S128" i="2"/>
  <c r="R128" i="2"/>
  <c r="Q128" i="2"/>
  <c r="P128" i="2"/>
  <c r="O128" i="2"/>
  <c r="M128" i="2"/>
  <c r="L128" i="2"/>
  <c r="K128" i="2"/>
  <c r="J128" i="2"/>
  <c r="I128" i="2"/>
  <c r="H128" i="2"/>
  <c r="G128" i="2"/>
  <c r="F128" i="2"/>
  <c r="E128" i="2"/>
  <c r="D128" i="2"/>
  <c r="C128" i="2"/>
  <c r="B128" i="2"/>
  <c r="A128" i="2"/>
  <c r="T127" i="2"/>
  <c r="S127" i="2"/>
  <c r="R127" i="2"/>
  <c r="Q127" i="2"/>
  <c r="P127" i="2"/>
  <c r="O127" i="2"/>
  <c r="M127" i="2"/>
  <c r="L127" i="2"/>
  <c r="K127" i="2"/>
  <c r="J127" i="2"/>
  <c r="I127" i="2"/>
  <c r="H127" i="2"/>
  <c r="G127" i="2"/>
  <c r="F127" i="2"/>
  <c r="E127" i="2"/>
  <c r="D127" i="2"/>
  <c r="C127" i="2"/>
  <c r="B127" i="2"/>
  <c r="A127" i="2"/>
  <c r="T126" i="2"/>
  <c r="S126" i="2"/>
  <c r="R126" i="2"/>
  <c r="Q126" i="2"/>
  <c r="P126" i="2"/>
  <c r="O126" i="2"/>
  <c r="M126" i="2"/>
  <c r="L126" i="2"/>
  <c r="K126" i="2"/>
  <c r="J126" i="2"/>
  <c r="I126" i="2"/>
  <c r="H126" i="2"/>
  <c r="G126" i="2"/>
  <c r="F126" i="2"/>
  <c r="E126" i="2"/>
  <c r="D126" i="2"/>
  <c r="C126" i="2"/>
  <c r="B126" i="2"/>
  <c r="A126" i="2"/>
  <c r="T125" i="2"/>
  <c r="S125" i="2"/>
  <c r="R125" i="2"/>
  <c r="Q125" i="2"/>
  <c r="P125" i="2"/>
  <c r="O125" i="2"/>
  <c r="M125" i="2"/>
  <c r="L125" i="2"/>
  <c r="K125" i="2"/>
  <c r="J125" i="2"/>
  <c r="I125" i="2"/>
  <c r="H125" i="2"/>
  <c r="G125" i="2"/>
  <c r="F125" i="2"/>
  <c r="E125" i="2"/>
  <c r="D125" i="2"/>
  <c r="C125" i="2"/>
  <c r="B125" i="2"/>
  <c r="A125" i="2"/>
  <c r="T124" i="2"/>
  <c r="S124" i="2"/>
  <c r="R124" i="2"/>
  <c r="Q124" i="2"/>
  <c r="P124" i="2"/>
  <c r="O124" i="2"/>
  <c r="M124" i="2"/>
  <c r="L124" i="2"/>
  <c r="K124" i="2"/>
  <c r="J124" i="2"/>
  <c r="I124" i="2"/>
  <c r="H124" i="2"/>
  <c r="G124" i="2"/>
  <c r="F124" i="2"/>
  <c r="E124" i="2"/>
  <c r="D124" i="2"/>
  <c r="C124" i="2"/>
  <c r="B124" i="2"/>
  <c r="A124" i="2"/>
  <c r="T123" i="2"/>
  <c r="S123" i="2"/>
  <c r="R123" i="2"/>
  <c r="Q123" i="2"/>
  <c r="P123" i="2"/>
  <c r="O123" i="2"/>
  <c r="M123" i="2"/>
  <c r="L123" i="2"/>
  <c r="K123" i="2"/>
  <c r="J123" i="2"/>
  <c r="I123" i="2"/>
  <c r="H123" i="2"/>
  <c r="G123" i="2"/>
  <c r="F123" i="2"/>
  <c r="E123" i="2"/>
  <c r="D123" i="2"/>
  <c r="C123" i="2"/>
  <c r="B123" i="2"/>
  <c r="A123" i="2"/>
  <c r="T122" i="2"/>
  <c r="S122" i="2"/>
  <c r="R122" i="2"/>
  <c r="Q122" i="2"/>
  <c r="P122" i="2"/>
  <c r="O122" i="2"/>
  <c r="M122" i="2"/>
  <c r="L122" i="2"/>
  <c r="K122" i="2"/>
  <c r="J122" i="2"/>
  <c r="I122" i="2"/>
  <c r="H122" i="2"/>
  <c r="G122" i="2"/>
  <c r="F122" i="2"/>
  <c r="E122" i="2"/>
  <c r="D122" i="2"/>
  <c r="C122" i="2"/>
  <c r="B122" i="2"/>
  <c r="A122" i="2"/>
  <c r="T121" i="2"/>
  <c r="S121" i="2"/>
  <c r="R121" i="2"/>
  <c r="Q121" i="2"/>
  <c r="P121" i="2"/>
  <c r="O121" i="2"/>
  <c r="M121" i="2"/>
  <c r="L121" i="2"/>
  <c r="K121" i="2"/>
  <c r="J121" i="2"/>
  <c r="I121" i="2"/>
  <c r="H121" i="2"/>
  <c r="G121" i="2"/>
  <c r="F121" i="2"/>
  <c r="E121" i="2"/>
  <c r="D121" i="2"/>
  <c r="C121" i="2"/>
  <c r="B121" i="2"/>
  <c r="A121" i="2"/>
  <c r="T120" i="2"/>
  <c r="S120" i="2"/>
  <c r="R120" i="2"/>
  <c r="Q120" i="2"/>
  <c r="P120" i="2"/>
  <c r="O120" i="2"/>
  <c r="M120" i="2"/>
  <c r="L120" i="2"/>
  <c r="K120" i="2"/>
  <c r="J120" i="2"/>
  <c r="I120" i="2"/>
  <c r="H120" i="2"/>
  <c r="G120" i="2"/>
  <c r="F120" i="2"/>
  <c r="E120" i="2"/>
  <c r="D120" i="2"/>
  <c r="C120" i="2"/>
  <c r="B120" i="2"/>
  <c r="A120" i="2"/>
  <c r="T119" i="2"/>
  <c r="S119" i="2"/>
  <c r="R119" i="2"/>
  <c r="Q119" i="2"/>
  <c r="P119" i="2"/>
  <c r="O119" i="2"/>
  <c r="M119" i="2"/>
  <c r="L119" i="2"/>
  <c r="K119" i="2"/>
  <c r="J119" i="2"/>
  <c r="I119" i="2"/>
  <c r="H119" i="2"/>
  <c r="G119" i="2"/>
  <c r="F119" i="2"/>
  <c r="E119" i="2"/>
  <c r="D119" i="2"/>
  <c r="C119" i="2"/>
  <c r="B119" i="2"/>
  <c r="A119" i="2"/>
  <c r="U118" i="2"/>
  <c r="T118" i="2"/>
  <c r="S118" i="2"/>
  <c r="R118" i="2"/>
  <c r="Q118" i="2"/>
  <c r="P118" i="2"/>
  <c r="O118" i="2"/>
  <c r="N118" i="2"/>
  <c r="M118" i="2"/>
  <c r="L118" i="2"/>
  <c r="K118" i="2"/>
  <c r="J118" i="2"/>
  <c r="I118" i="2"/>
  <c r="H118" i="2"/>
  <c r="G118" i="2"/>
  <c r="F118" i="2"/>
  <c r="E118" i="2"/>
  <c r="D118" i="2"/>
  <c r="C118" i="2"/>
  <c r="B118" i="2"/>
  <c r="A118" i="2"/>
  <c r="U117" i="2"/>
  <c r="T117" i="2"/>
  <c r="S117" i="2"/>
  <c r="R117" i="2"/>
  <c r="Q117" i="2"/>
  <c r="P117" i="2"/>
  <c r="O117" i="2"/>
  <c r="N117" i="2"/>
  <c r="M117" i="2"/>
  <c r="L117" i="2"/>
  <c r="K117" i="2"/>
  <c r="J117" i="2"/>
  <c r="I117" i="2"/>
  <c r="H117" i="2"/>
  <c r="G117" i="2"/>
  <c r="F117" i="2"/>
  <c r="E117" i="2"/>
  <c r="D117" i="2"/>
  <c r="C117" i="2"/>
  <c r="B117" i="2"/>
  <c r="A117" i="2"/>
  <c r="U116" i="2"/>
  <c r="T116" i="2"/>
  <c r="S116" i="2"/>
  <c r="R116" i="2"/>
  <c r="Q116" i="2"/>
  <c r="P116" i="2"/>
  <c r="O116" i="2"/>
  <c r="N116" i="2"/>
  <c r="M116" i="2"/>
  <c r="L116" i="2"/>
  <c r="K116" i="2"/>
  <c r="J116" i="2"/>
  <c r="I116" i="2"/>
  <c r="H116" i="2"/>
  <c r="G116" i="2"/>
  <c r="F116" i="2"/>
  <c r="E116" i="2"/>
  <c r="D116" i="2"/>
  <c r="C116" i="2"/>
  <c r="B116" i="2"/>
  <c r="A116" i="2"/>
  <c r="U115" i="2"/>
  <c r="T115" i="2"/>
  <c r="S115" i="2"/>
  <c r="R115" i="2"/>
  <c r="Q115" i="2"/>
  <c r="P115" i="2"/>
  <c r="O115" i="2"/>
  <c r="N115" i="2"/>
  <c r="M115" i="2"/>
  <c r="L115" i="2"/>
  <c r="K115" i="2"/>
  <c r="J115" i="2"/>
  <c r="I115" i="2"/>
  <c r="H115" i="2"/>
  <c r="G115" i="2"/>
  <c r="F115" i="2"/>
  <c r="E115" i="2"/>
  <c r="D115" i="2"/>
  <c r="C115" i="2"/>
  <c r="B115" i="2"/>
  <c r="A115" i="2"/>
  <c r="U114" i="2"/>
  <c r="T114" i="2"/>
  <c r="S114" i="2"/>
  <c r="R114" i="2"/>
  <c r="Q114" i="2"/>
  <c r="P114" i="2"/>
  <c r="O114" i="2"/>
  <c r="N114" i="2"/>
  <c r="M114" i="2"/>
  <c r="L114" i="2"/>
  <c r="K114" i="2"/>
  <c r="J114" i="2"/>
  <c r="I114" i="2"/>
  <c r="H114" i="2"/>
  <c r="G114" i="2"/>
  <c r="F114" i="2"/>
  <c r="E114" i="2"/>
  <c r="D114" i="2"/>
  <c r="C114" i="2"/>
  <c r="B114" i="2"/>
  <c r="A114" i="2"/>
  <c r="U113" i="2"/>
  <c r="T113" i="2"/>
  <c r="S113" i="2"/>
  <c r="R113" i="2"/>
  <c r="Q113" i="2"/>
  <c r="P113" i="2"/>
  <c r="O113" i="2"/>
  <c r="N113" i="2"/>
  <c r="M113" i="2"/>
  <c r="L113" i="2"/>
  <c r="K113" i="2"/>
  <c r="J113" i="2"/>
  <c r="I113" i="2"/>
  <c r="H113" i="2"/>
  <c r="G113" i="2"/>
  <c r="F113" i="2"/>
  <c r="E113" i="2"/>
  <c r="D113" i="2"/>
  <c r="C113" i="2"/>
  <c r="B113" i="2"/>
  <c r="A113" i="2"/>
  <c r="U112" i="2"/>
  <c r="T112" i="2"/>
  <c r="S112" i="2"/>
  <c r="R112" i="2"/>
  <c r="Q112" i="2"/>
  <c r="P112" i="2"/>
  <c r="O112" i="2"/>
  <c r="N112" i="2"/>
  <c r="M112" i="2"/>
  <c r="L112" i="2"/>
  <c r="K112" i="2"/>
  <c r="J112" i="2"/>
  <c r="I112" i="2"/>
  <c r="H112" i="2"/>
  <c r="G112" i="2"/>
  <c r="F112" i="2"/>
  <c r="E112" i="2"/>
  <c r="D112" i="2"/>
  <c r="C112" i="2"/>
  <c r="B112" i="2"/>
  <c r="A112" i="2"/>
  <c r="U111" i="2"/>
  <c r="T111" i="2"/>
  <c r="S111" i="2"/>
  <c r="R111" i="2"/>
  <c r="Q111" i="2"/>
  <c r="P111" i="2"/>
  <c r="O111" i="2"/>
  <c r="N111" i="2"/>
  <c r="M111" i="2"/>
  <c r="L111" i="2"/>
  <c r="K111" i="2"/>
  <c r="J111" i="2"/>
  <c r="I111" i="2"/>
  <c r="H111" i="2"/>
  <c r="G111" i="2"/>
  <c r="F111" i="2"/>
  <c r="E111" i="2"/>
  <c r="D111" i="2"/>
  <c r="C111" i="2"/>
  <c r="B111" i="2"/>
  <c r="A111" i="2"/>
  <c r="T110" i="2"/>
  <c r="S110" i="2"/>
  <c r="R110" i="2"/>
  <c r="Q110" i="2"/>
  <c r="P110" i="2"/>
  <c r="O110" i="2"/>
  <c r="N110" i="2"/>
  <c r="L110" i="2"/>
  <c r="H110" i="2"/>
  <c r="G110" i="2"/>
  <c r="F110" i="2"/>
  <c r="E110" i="2"/>
  <c r="D110" i="2"/>
  <c r="C110" i="2"/>
  <c r="B110" i="2"/>
  <c r="A110" i="2"/>
  <c r="T109" i="2"/>
  <c r="S109" i="2"/>
  <c r="R109" i="2"/>
  <c r="Q109" i="2"/>
  <c r="P109" i="2"/>
  <c r="O109" i="2"/>
  <c r="N109" i="2"/>
  <c r="M109" i="2"/>
  <c r="L109" i="2"/>
  <c r="H109" i="2"/>
  <c r="G109" i="2"/>
  <c r="F109" i="2"/>
  <c r="E109" i="2"/>
  <c r="D109" i="2"/>
  <c r="C109" i="2"/>
  <c r="B109" i="2"/>
  <c r="A109" i="2"/>
  <c r="T108" i="2"/>
  <c r="S108" i="2"/>
  <c r="R108" i="2"/>
  <c r="Q108" i="2"/>
  <c r="P108" i="2"/>
  <c r="O108" i="2"/>
  <c r="N108" i="2"/>
  <c r="L108" i="2"/>
  <c r="H108" i="2"/>
  <c r="G108" i="2"/>
  <c r="F108" i="2"/>
  <c r="E108" i="2"/>
  <c r="D108" i="2"/>
  <c r="C108" i="2"/>
  <c r="B108" i="2"/>
  <c r="A108" i="2"/>
  <c r="U107" i="2"/>
  <c r="T107" i="2"/>
  <c r="S107" i="2"/>
  <c r="Q107" i="2"/>
  <c r="P107" i="2"/>
  <c r="O107" i="2"/>
  <c r="N107" i="2"/>
  <c r="M107" i="2"/>
  <c r="L107" i="2"/>
  <c r="H107" i="2"/>
  <c r="G107" i="2"/>
  <c r="F107" i="2"/>
  <c r="E107" i="2"/>
  <c r="D107" i="2"/>
  <c r="C107" i="2"/>
  <c r="B107" i="2"/>
  <c r="A107" i="2"/>
  <c r="T106" i="2"/>
  <c r="S106" i="2"/>
  <c r="R106" i="2"/>
  <c r="Q106" i="2"/>
  <c r="P106" i="2"/>
  <c r="O106" i="2"/>
  <c r="N106" i="2"/>
  <c r="M106" i="2"/>
  <c r="L106" i="2"/>
  <c r="K106" i="2"/>
  <c r="J106" i="2"/>
  <c r="I106" i="2"/>
  <c r="H106" i="2"/>
  <c r="G106" i="2"/>
  <c r="F106" i="2"/>
  <c r="E106" i="2"/>
  <c r="D106" i="2"/>
  <c r="C106" i="2"/>
  <c r="B106" i="2"/>
  <c r="A106" i="2"/>
  <c r="T105" i="2"/>
  <c r="S105" i="2"/>
  <c r="R105" i="2"/>
  <c r="Q105" i="2"/>
  <c r="P105" i="2"/>
  <c r="O105" i="2"/>
  <c r="N105" i="2"/>
  <c r="M105" i="2"/>
  <c r="L105" i="2"/>
  <c r="K105" i="2"/>
  <c r="J105" i="2"/>
  <c r="I105" i="2"/>
  <c r="H105" i="2"/>
  <c r="G105" i="2"/>
  <c r="F105" i="2"/>
  <c r="E105" i="2"/>
  <c r="D105" i="2"/>
  <c r="C105" i="2"/>
  <c r="B105" i="2"/>
  <c r="A105" i="2"/>
  <c r="T104" i="2"/>
  <c r="S104" i="2"/>
  <c r="R104" i="2"/>
  <c r="Q104" i="2"/>
  <c r="P104" i="2"/>
  <c r="O104" i="2"/>
  <c r="N104" i="2"/>
  <c r="M104" i="2"/>
  <c r="L104" i="2"/>
  <c r="K104" i="2"/>
  <c r="J104" i="2"/>
  <c r="I104" i="2"/>
  <c r="H104" i="2"/>
  <c r="G104" i="2"/>
  <c r="F104" i="2"/>
  <c r="E104" i="2"/>
  <c r="D104" i="2"/>
  <c r="C104" i="2"/>
  <c r="B104" i="2"/>
  <c r="A104" i="2"/>
  <c r="T103" i="2"/>
  <c r="S103" i="2"/>
  <c r="R103" i="2"/>
  <c r="Q103" i="2"/>
  <c r="P103" i="2"/>
  <c r="O103" i="2"/>
  <c r="N103" i="2"/>
  <c r="M103" i="2"/>
  <c r="L103" i="2"/>
  <c r="K103" i="2"/>
  <c r="J103" i="2"/>
  <c r="I103" i="2"/>
  <c r="H103" i="2"/>
  <c r="G103" i="2"/>
  <c r="F103" i="2"/>
  <c r="E103" i="2"/>
  <c r="D103" i="2"/>
  <c r="C103" i="2"/>
  <c r="B103" i="2"/>
  <c r="A103" i="2"/>
  <c r="T102" i="2"/>
  <c r="S102" i="2"/>
  <c r="R102" i="2"/>
  <c r="Q102" i="2"/>
  <c r="P102" i="2"/>
  <c r="O102" i="2"/>
  <c r="N102" i="2"/>
  <c r="M102" i="2"/>
  <c r="L102" i="2"/>
  <c r="K102" i="2"/>
  <c r="J102" i="2"/>
  <c r="I102" i="2"/>
  <c r="H102" i="2"/>
  <c r="G102" i="2"/>
  <c r="F102" i="2"/>
  <c r="E102" i="2"/>
  <c r="D102" i="2"/>
  <c r="C102" i="2"/>
  <c r="B102" i="2"/>
  <c r="A102" i="2"/>
  <c r="T101" i="2"/>
  <c r="S101" i="2"/>
  <c r="R101" i="2"/>
  <c r="Q101" i="2"/>
  <c r="P101" i="2"/>
  <c r="O101" i="2"/>
  <c r="N101" i="2"/>
  <c r="M101" i="2"/>
  <c r="L101" i="2"/>
  <c r="K101" i="2"/>
  <c r="J101" i="2"/>
  <c r="I101" i="2"/>
  <c r="H101" i="2"/>
  <c r="G101" i="2"/>
  <c r="F101" i="2"/>
  <c r="E101" i="2"/>
  <c r="D101" i="2"/>
  <c r="C101" i="2"/>
  <c r="B101" i="2"/>
  <c r="A101" i="2"/>
  <c r="U100" i="2"/>
  <c r="T100" i="2"/>
  <c r="S100" i="2"/>
  <c r="R100" i="2"/>
  <c r="Q100" i="2"/>
  <c r="P100" i="2"/>
  <c r="O100" i="2"/>
  <c r="N100" i="2"/>
  <c r="M100" i="2"/>
  <c r="L100" i="2"/>
  <c r="K100" i="2"/>
  <c r="J100" i="2"/>
  <c r="I100" i="2"/>
  <c r="H100" i="2"/>
  <c r="G100" i="2"/>
  <c r="F100" i="2"/>
  <c r="E100" i="2"/>
  <c r="D100" i="2"/>
  <c r="C100" i="2"/>
  <c r="B100" i="2"/>
  <c r="A100" i="2"/>
  <c r="T99" i="2"/>
  <c r="R99" i="2"/>
  <c r="Q99" i="2"/>
  <c r="P99" i="2"/>
  <c r="O99" i="2"/>
  <c r="N99" i="2"/>
  <c r="M99" i="2"/>
  <c r="L99" i="2"/>
  <c r="K99" i="2"/>
  <c r="J99" i="2"/>
  <c r="I99" i="2"/>
  <c r="H99" i="2"/>
  <c r="G99" i="2"/>
  <c r="F99" i="2"/>
  <c r="E99" i="2"/>
  <c r="D99" i="2"/>
  <c r="C99" i="2"/>
  <c r="B99" i="2"/>
  <c r="A99" i="2"/>
  <c r="T98" i="2"/>
  <c r="S98" i="2"/>
  <c r="R98" i="2"/>
  <c r="Q98" i="2"/>
  <c r="P98" i="2"/>
  <c r="O98" i="2"/>
  <c r="N98" i="2"/>
  <c r="M98" i="2"/>
  <c r="L98" i="2"/>
  <c r="K98" i="2"/>
  <c r="J98" i="2"/>
  <c r="I98" i="2"/>
  <c r="H98" i="2"/>
  <c r="G98" i="2"/>
  <c r="F98" i="2"/>
  <c r="E98" i="2"/>
  <c r="D98" i="2"/>
  <c r="C98" i="2"/>
  <c r="B98" i="2"/>
  <c r="A98" i="2"/>
  <c r="T97" i="2"/>
  <c r="S97" i="2"/>
  <c r="R97" i="2"/>
  <c r="Q97" i="2"/>
  <c r="P97" i="2"/>
  <c r="O97" i="2"/>
  <c r="N97" i="2"/>
  <c r="M97" i="2"/>
  <c r="L97" i="2"/>
  <c r="K97" i="2"/>
  <c r="J97" i="2"/>
  <c r="I97" i="2"/>
  <c r="H97" i="2"/>
  <c r="G97" i="2"/>
  <c r="F97" i="2"/>
  <c r="E97" i="2"/>
  <c r="D97" i="2"/>
  <c r="C97" i="2"/>
  <c r="B97" i="2"/>
  <c r="A97" i="2"/>
  <c r="T96" i="2"/>
  <c r="S96" i="2"/>
  <c r="R96" i="2"/>
  <c r="Q96" i="2"/>
  <c r="P96" i="2"/>
  <c r="O96" i="2"/>
  <c r="N96" i="2"/>
  <c r="M96" i="2"/>
  <c r="L96" i="2"/>
  <c r="K96" i="2"/>
  <c r="J96" i="2"/>
  <c r="I96" i="2"/>
  <c r="H96" i="2"/>
  <c r="G96" i="2"/>
  <c r="F96" i="2"/>
  <c r="E96" i="2"/>
  <c r="D96" i="2"/>
  <c r="C96" i="2"/>
  <c r="B96" i="2"/>
  <c r="A96" i="2"/>
  <c r="T95" i="2"/>
  <c r="S95" i="2"/>
  <c r="R95" i="2"/>
  <c r="Q95" i="2"/>
  <c r="P95" i="2"/>
  <c r="O95" i="2"/>
  <c r="N95" i="2"/>
  <c r="M95" i="2"/>
  <c r="L95" i="2"/>
  <c r="K95" i="2"/>
  <c r="J95" i="2"/>
  <c r="I95" i="2"/>
  <c r="H95" i="2"/>
  <c r="G95" i="2"/>
  <c r="F95" i="2"/>
  <c r="E95" i="2"/>
  <c r="D95" i="2"/>
  <c r="C95" i="2"/>
  <c r="B95" i="2"/>
  <c r="A95" i="2"/>
  <c r="S94" i="2"/>
  <c r="R94" i="2"/>
  <c r="Q94" i="2"/>
  <c r="P94" i="2"/>
  <c r="O94" i="2"/>
  <c r="N94" i="2"/>
  <c r="M94" i="2"/>
  <c r="L94" i="2"/>
  <c r="K94" i="2"/>
  <c r="J94" i="2"/>
  <c r="I94" i="2"/>
  <c r="H94" i="2"/>
  <c r="G94" i="2"/>
  <c r="F94" i="2"/>
  <c r="E94" i="2"/>
  <c r="D94" i="2"/>
  <c r="C94" i="2"/>
  <c r="B94" i="2"/>
  <c r="A94" i="2"/>
  <c r="T93" i="2"/>
  <c r="S93" i="2"/>
  <c r="R93" i="2"/>
  <c r="Q93" i="2"/>
  <c r="P93" i="2"/>
  <c r="O93" i="2"/>
  <c r="N93" i="2"/>
  <c r="M93" i="2"/>
  <c r="L93" i="2"/>
  <c r="K93" i="2"/>
  <c r="J93" i="2"/>
  <c r="I93" i="2"/>
  <c r="H93" i="2"/>
  <c r="G93" i="2"/>
  <c r="F93" i="2"/>
  <c r="E93" i="2"/>
  <c r="D93" i="2"/>
  <c r="C93" i="2"/>
  <c r="B93" i="2"/>
  <c r="A93" i="2"/>
  <c r="U92" i="2"/>
  <c r="T92" i="2"/>
  <c r="S92" i="2"/>
  <c r="R92" i="2"/>
  <c r="Q92" i="2"/>
  <c r="P92" i="2"/>
  <c r="O92" i="2"/>
  <c r="N92" i="2"/>
  <c r="M92" i="2"/>
  <c r="L92" i="2"/>
  <c r="K92" i="2"/>
  <c r="J92" i="2"/>
  <c r="I92" i="2"/>
  <c r="H92" i="2"/>
  <c r="G92" i="2"/>
  <c r="F92" i="2"/>
  <c r="E92" i="2"/>
  <c r="D92" i="2"/>
  <c r="C92" i="2"/>
  <c r="B92" i="2"/>
  <c r="A92" i="2"/>
  <c r="U91" i="2"/>
  <c r="T91" i="2"/>
  <c r="S91" i="2"/>
  <c r="R91" i="2"/>
  <c r="Q91" i="2"/>
  <c r="P91" i="2"/>
  <c r="O91" i="2"/>
  <c r="N91" i="2"/>
  <c r="M91" i="2"/>
  <c r="L91" i="2"/>
  <c r="K91" i="2"/>
  <c r="J91" i="2"/>
  <c r="I91" i="2"/>
  <c r="H91" i="2"/>
  <c r="G91" i="2"/>
  <c r="F91" i="2"/>
  <c r="E91" i="2"/>
  <c r="D91" i="2"/>
  <c r="C91" i="2"/>
  <c r="B91" i="2"/>
  <c r="A91" i="2"/>
  <c r="T90" i="2"/>
  <c r="S90" i="2"/>
  <c r="R90" i="2"/>
  <c r="Q90" i="2"/>
  <c r="P90" i="2"/>
  <c r="O90" i="2"/>
  <c r="N90" i="2"/>
  <c r="M90" i="2"/>
  <c r="L90" i="2"/>
  <c r="K90" i="2"/>
  <c r="J90" i="2"/>
  <c r="I90" i="2"/>
  <c r="H90" i="2"/>
  <c r="G90" i="2"/>
  <c r="F90" i="2"/>
  <c r="E90" i="2"/>
  <c r="D90" i="2"/>
  <c r="C90" i="2"/>
  <c r="B90" i="2"/>
  <c r="A90" i="2"/>
  <c r="U89" i="2"/>
  <c r="T89" i="2"/>
  <c r="S89" i="2"/>
  <c r="R89" i="2"/>
  <c r="P89" i="2"/>
  <c r="O89" i="2"/>
  <c r="N89" i="2"/>
  <c r="M89" i="2"/>
  <c r="L89" i="2"/>
  <c r="K89" i="2"/>
  <c r="J89" i="2"/>
  <c r="I89" i="2"/>
  <c r="H89" i="2"/>
  <c r="G89" i="2"/>
  <c r="F89" i="2"/>
  <c r="E89" i="2"/>
  <c r="D89" i="2"/>
  <c r="C89" i="2"/>
  <c r="B89" i="2"/>
  <c r="A89" i="2"/>
  <c r="U88" i="2"/>
  <c r="T88" i="2"/>
  <c r="S88" i="2"/>
  <c r="R88" i="2"/>
  <c r="Q88" i="2"/>
  <c r="P88" i="2"/>
  <c r="O88" i="2"/>
  <c r="N88" i="2"/>
  <c r="M88" i="2"/>
  <c r="L88" i="2"/>
  <c r="K88" i="2"/>
  <c r="J88" i="2"/>
  <c r="I88" i="2"/>
  <c r="H88" i="2"/>
  <c r="G88" i="2"/>
  <c r="F88" i="2"/>
  <c r="E88" i="2"/>
  <c r="D88" i="2"/>
  <c r="C88" i="2"/>
  <c r="B88" i="2"/>
  <c r="A88" i="2"/>
  <c r="T87" i="2"/>
  <c r="S87" i="2"/>
  <c r="Q87" i="2"/>
  <c r="P87" i="2"/>
  <c r="O87" i="2"/>
  <c r="N87" i="2"/>
  <c r="M87" i="2"/>
  <c r="L87" i="2"/>
  <c r="K87" i="2"/>
  <c r="J87" i="2"/>
  <c r="I87" i="2"/>
  <c r="H87" i="2"/>
  <c r="G87" i="2"/>
  <c r="F87" i="2"/>
  <c r="E87" i="2"/>
  <c r="D87" i="2"/>
  <c r="C87" i="2"/>
  <c r="B87" i="2"/>
  <c r="A87" i="2"/>
  <c r="T86" i="2"/>
  <c r="S86" i="2"/>
  <c r="P86" i="2"/>
  <c r="O86" i="2"/>
  <c r="N86" i="2"/>
  <c r="M86" i="2"/>
  <c r="L86" i="2"/>
  <c r="K86" i="2"/>
  <c r="J86" i="2"/>
  <c r="I86" i="2"/>
  <c r="H86" i="2"/>
  <c r="G86" i="2"/>
  <c r="F86" i="2"/>
  <c r="E86" i="2"/>
  <c r="D86" i="2"/>
  <c r="C86" i="2"/>
  <c r="B86" i="2"/>
  <c r="A86" i="2"/>
  <c r="U85" i="2"/>
  <c r="T85" i="2"/>
  <c r="S85" i="2"/>
  <c r="R85" i="2"/>
  <c r="Q85" i="2"/>
  <c r="P85" i="2"/>
  <c r="O85" i="2"/>
  <c r="N85" i="2"/>
  <c r="M85" i="2"/>
  <c r="L85" i="2"/>
  <c r="K85" i="2"/>
  <c r="J85" i="2"/>
  <c r="I85" i="2"/>
  <c r="H85" i="2"/>
  <c r="G85" i="2"/>
  <c r="F85" i="2"/>
  <c r="E85" i="2"/>
  <c r="D85" i="2"/>
  <c r="C85" i="2"/>
  <c r="B85" i="2"/>
  <c r="A85" i="2"/>
  <c r="T84" i="2"/>
  <c r="S84" i="2"/>
  <c r="R84" i="2"/>
  <c r="Q84" i="2"/>
  <c r="P84" i="2"/>
  <c r="O84" i="2"/>
  <c r="N84" i="2"/>
  <c r="M84" i="2"/>
  <c r="L84" i="2"/>
  <c r="K84" i="2"/>
  <c r="J84" i="2"/>
  <c r="I84" i="2"/>
  <c r="H84" i="2"/>
  <c r="G84" i="2"/>
  <c r="F84" i="2"/>
  <c r="E84" i="2"/>
  <c r="D84" i="2"/>
  <c r="C84" i="2"/>
  <c r="B84" i="2"/>
  <c r="A84" i="2"/>
  <c r="T83" i="2"/>
  <c r="S83" i="2"/>
  <c r="R83" i="2"/>
  <c r="Q83" i="2"/>
  <c r="P83" i="2"/>
  <c r="O83" i="2"/>
  <c r="N83" i="2"/>
  <c r="M83" i="2"/>
  <c r="L83" i="2"/>
  <c r="K83" i="2"/>
  <c r="J83" i="2"/>
  <c r="I83" i="2"/>
  <c r="H83" i="2"/>
  <c r="G83" i="2"/>
  <c r="F83" i="2"/>
  <c r="E83" i="2"/>
  <c r="D83" i="2"/>
  <c r="C83" i="2"/>
  <c r="B83" i="2"/>
  <c r="A83" i="2"/>
  <c r="T82" i="2"/>
  <c r="S82" i="2"/>
  <c r="R82" i="2"/>
  <c r="Q82" i="2"/>
  <c r="P82" i="2"/>
  <c r="O82" i="2"/>
  <c r="N82" i="2"/>
  <c r="M82" i="2"/>
  <c r="L82" i="2"/>
  <c r="K82" i="2"/>
  <c r="J82" i="2"/>
  <c r="I82" i="2"/>
  <c r="H82" i="2"/>
  <c r="G82" i="2"/>
  <c r="F82" i="2"/>
  <c r="E82" i="2"/>
  <c r="D82" i="2"/>
  <c r="C82" i="2"/>
  <c r="B82" i="2"/>
  <c r="A82" i="2"/>
  <c r="T81" i="2"/>
  <c r="S81" i="2"/>
  <c r="Q81" i="2"/>
  <c r="P81" i="2"/>
  <c r="O81" i="2"/>
  <c r="N81" i="2"/>
  <c r="M81" i="2"/>
  <c r="L81" i="2"/>
  <c r="K81" i="2"/>
  <c r="J81" i="2"/>
  <c r="I81" i="2"/>
  <c r="H81" i="2"/>
  <c r="G81" i="2"/>
  <c r="F81" i="2"/>
  <c r="E81" i="2"/>
  <c r="D81" i="2"/>
  <c r="C81" i="2"/>
  <c r="B81" i="2"/>
  <c r="A81" i="2"/>
  <c r="U80" i="2"/>
  <c r="T80" i="2"/>
  <c r="S80" i="2"/>
  <c r="R80" i="2"/>
  <c r="Q80" i="2"/>
  <c r="P80" i="2"/>
  <c r="O80" i="2"/>
  <c r="N80" i="2"/>
  <c r="M80" i="2"/>
  <c r="L80" i="2"/>
  <c r="K80" i="2"/>
  <c r="J80" i="2"/>
  <c r="I80" i="2"/>
  <c r="H80" i="2"/>
  <c r="G80" i="2"/>
  <c r="F80" i="2"/>
  <c r="E80" i="2"/>
  <c r="D80" i="2"/>
  <c r="C80" i="2"/>
  <c r="B80" i="2"/>
  <c r="A80" i="2"/>
  <c r="S79" i="2"/>
  <c r="R79" i="2"/>
  <c r="Q79" i="2"/>
  <c r="P79" i="2"/>
  <c r="O79" i="2"/>
  <c r="N79" i="2"/>
  <c r="M79" i="2"/>
  <c r="L79" i="2"/>
  <c r="K79" i="2"/>
  <c r="J79" i="2"/>
  <c r="I79" i="2"/>
  <c r="H79" i="2"/>
  <c r="G79" i="2"/>
  <c r="F79" i="2"/>
  <c r="E79" i="2"/>
  <c r="D79" i="2"/>
  <c r="C79" i="2"/>
  <c r="B79" i="2"/>
  <c r="A79" i="2"/>
  <c r="N78" i="2"/>
  <c r="L78" i="2"/>
  <c r="H78" i="2"/>
  <c r="G78" i="2"/>
  <c r="F78" i="2"/>
  <c r="E78" i="2"/>
  <c r="D78" i="2"/>
  <c r="C78" i="2"/>
  <c r="B78" i="2"/>
  <c r="A78" i="2"/>
  <c r="N77" i="2"/>
  <c r="M77" i="2"/>
  <c r="L77" i="2"/>
  <c r="H77" i="2"/>
  <c r="G77" i="2"/>
  <c r="F77" i="2"/>
  <c r="E77" i="2"/>
  <c r="D77" i="2"/>
  <c r="C77" i="2"/>
  <c r="B77" i="2"/>
  <c r="A77" i="2"/>
  <c r="N76" i="2"/>
  <c r="L76" i="2"/>
  <c r="K76" i="2"/>
  <c r="J76" i="2"/>
  <c r="I76" i="2"/>
  <c r="H76" i="2"/>
  <c r="G76" i="2"/>
  <c r="F76" i="2"/>
  <c r="E76" i="2"/>
  <c r="D76" i="2"/>
  <c r="C76" i="2"/>
  <c r="B76" i="2"/>
  <c r="A76" i="2"/>
  <c r="T75" i="2"/>
  <c r="S75" i="2"/>
  <c r="N75" i="2"/>
  <c r="L75" i="2"/>
  <c r="K75" i="2"/>
  <c r="J75" i="2"/>
  <c r="I75" i="2"/>
  <c r="H75" i="2"/>
  <c r="G75" i="2"/>
  <c r="F75" i="2"/>
  <c r="E75" i="2"/>
  <c r="D75" i="2"/>
  <c r="C75" i="2"/>
  <c r="B75" i="2"/>
  <c r="A75" i="2"/>
  <c r="T74" i="2"/>
  <c r="S74" i="2"/>
  <c r="N74" i="2"/>
  <c r="L74" i="2"/>
  <c r="K74" i="2"/>
  <c r="J74" i="2"/>
  <c r="I74" i="2"/>
  <c r="H74" i="2"/>
  <c r="G74" i="2"/>
  <c r="F74" i="2"/>
  <c r="E74" i="2"/>
  <c r="D74" i="2"/>
  <c r="C74" i="2"/>
  <c r="B74" i="2"/>
  <c r="A74" i="2"/>
  <c r="T73" i="2"/>
  <c r="S73" i="2"/>
  <c r="N73" i="2"/>
  <c r="L73" i="2"/>
  <c r="K73" i="2"/>
  <c r="J73" i="2"/>
  <c r="I73" i="2"/>
  <c r="H73" i="2"/>
  <c r="G73" i="2"/>
  <c r="F73" i="2"/>
  <c r="E73" i="2"/>
  <c r="D73" i="2"/>
  <c r="C73" i="2"/>
  <c r="B73" i="2"/>
  <c r="A73" i="2"/>
  <c r="T72" i="2"/>
  <c r="S72" i="2"/>
  <c r="N72" i="2"/>
  <c r="L72" i="2"/>
  <c r="K72" i="2"/>
  <c r="J72" i="2"/>
  <c r="I72" i="2"/>
  <c r="H72" i="2"/>
  <c r="G72" i="2"/>
  <c r="F72" i="2"/>
  <c r="E72" i="2"/>
  <c r="D72" i="2"/>
  <c r="C72" i="2"/>
  <c r="B72" i="2"/>
  <c r="A72" i="2"/>
  <c r="T71" i="2"/>
  <c r="S71" i="2"/>
  <c r="N71" i="2"/>
  <c r="L71" i="2"/>
  <c r="K71" i="2"/>
  <c r="J71" i="2"/>
  <c r="I71" i="2"/>
  <c r="H71" i="2"/>
  <c r="G71" i="2"/>
  <c r="F71" i="2"/>
  <c r="E71" i="2"/>
  <c r="D71" i="2"/>
  <c r="C71" i="2"/>
  <c r="B71" i="2"/>
  <c r="A71" i="2"/>
  <c r="T70" i="2"/>
  <c r="S70" i="2"/>
  <c r="N70" i="2"/>
  <c r="L70" i="2"/>
  <c r="K70" i="2"/>
  <c r="J70" i="2"/>
  <c r="I70" i="2"/>
  <c r="H70" i="2"/>
  <c r="G70" i="2"/>
  <c r="F70" i="2"/>
  <c r="E70" i="2"/>
  <c r="D70" i="2"/>
  <c r="C70" i="2"/>
  <c r="B70" i="2"/>
  <c r="A70" i="2"/>
  <c r="T69" i="2"/>
  <c r="S69" i="2"/>
  <c r="N69" i="2"/>
  <c r="L69" i="2"/>
  <c r="K69" i="2"/>
  <c r="J69" i="2"/>
  <c r="I69" i="2"/>
  <c r="H69" i="2"/>
  <c r="G69" i="2"/>
  <c r="F69" i="2"/>
  <c r="E69" i="2"/>
  <c r="D69" i="2"/>
  <c r="C69" i="2"/>
  <c r="B69" i="2"/>
  <c r="A69" i="2"/>
  <c r="T68" i="2"/>
  <c r="S68" i="2"/>
  <c r="N68" i="2"/>
  <c r="L68" i="2"/>
  <c r="H68" i="2"/>
  <c r="F68" i="2"/>
  <c r="E68" i="2"/>
  <c r="D68" i="2"/>
  <c r="C68" i="2"/>
  <c r="B68" i="2"/>
  <c r="A68" i="2"/>
  <c r="T67" i="2"/>
  <c r="S67" i="2"/>
  <c r="Q67" i="2"/>
  <c r="P67" i="2"/>
  <c r="O67" i="2"/>
  <c r="N67" i="2"/>
  <c r="M67" i="2"/>
  <c r="L67" i="2"/>
  <c r="H67" i="2"/>
  <c r="G67" i="2"/>
  <c r="F67" i="2"/>
  <c r="E67" i="2"/>
  <c r="D67" i="2"/>
  <c r="C67" i="2"/>
  <c r="B67" i="2"/>
  <c r="A67" i="2"/>
  <c r="T66" i="2"/>
  <c r="S66" i="2"/>
  <c r="N66" i="2"/>
  <c r="M66" i="2"/>
  <c r="L66" i="2"/>
  <c r="H66" i="2"/>
  <c r="G66" i="2"/>
  <c r="F66" i="2"/>
  <c r="E66" i="2"/>
  <c r="D66" i="2"/>
  <c r="C66" i="2"/>
  <c r="B66" i="2"/>
  <c r="A66" i="2"/>
  <c r="T65" i="2"/>
  <c r="S65" i="2"/>
  <c r="R65" i="2"/>
  <c r="N65" i="2"/>
  <c r="M65" i="2"/>
  <c r="L65" i="2"/>
  <c r="H65" i="2"/>
  <c r="G65" i="2"/>
  <c r="F65" i="2"/>
  <c r="E65" i="2"/>
  <c r="D65" i="2"/>
  <c r="C65" i="2"/>
  <c r="B65" i="2"/>
  <c r="A65" i="2"/>
  <c r="T64" i="2"/>
  <c r="S64" i="2"/>
  <c r="R64" i="2"/>
  <c r="Q64" i="2"/>
  <c r="P64" i="2"/>
  <c r="O64" i="2"/>
  <c r="N64" i="2"/>
  <c r="M64" i="2"/>
  <c r="L64" i="2"/>
  <c r="K64" i="2"/>
  <c r="J64" i="2"/>
  <c r="I64" i="2"/>
  <c r="H64" i="2"/>
  <c r="G64" i="2"/>
  <c r="F64" i="2"/>
  <c r="E64" i="2"/>
  <c r="D64" i="2"/>
  <c r="C64" i="2"/>
  <c r="B64" i="2"/>
  <c r="A64" i="2"/>
  <c r="T63" i="2"/>
  <c r="S63" i="2"/>
  <c r="R63" i="2"/>
  <c r="Q63" i="2"/>
  <c r="P63" i="2"/>
  <c r="O63" i="2"/>
  <c r="N63" i="2"/>
  <c r="M63" i="2"/>
  <c r="L63" i="2"/>
  <c r="H63" i="2"/>
  <c r="G63" i="2"/>
  <c r="F63" i="2"/>
  <c r="E63" i="2"/>
  <c r="D63" i="2"/>
  <c r="C63" i="2"/>
  <c r="B63" i="2"/>
  <c r="A63" i="2"/>
  <c r="T62" i="2"/>
  <c r="S62" i="2"/>
  <c r="R62" i="2"/>
  <c r="Q62" i="2"/>
  <c r="P62" i="2"/>
  <c r="O62" i="2"/>
  <c r="N62" i="2"/>
  <c r="M62" i="2"/>
  <c r="L62" i="2"/>
  <c r="H62" i="2"/>
  <c r="G62" i="2"/>
  <c r="F62" i="2"/>
  <c r="E62" i="2"/>
  <c r="D62" i="2"/>
  <c r="C62" i="2"/>
  <c r="B62" i="2"/>
  <c r="A62" i="2"/>
  <c r="T61" i="2"/>
  <c r="S61" i="2"/>
  <c r="R61" i="2"/>
  <c r="Q61" i="2"/>
  <c r="P61" i="2"/>
  <c r="O61" i="2"/>
  <c r="N61" i="2"/>
  <c r="M61" i="2"/>
  <c r="L61" i="2"/>
  <c r="H61" i="2"/>
  <c r="G61" i="2"/>
  <c r="F61" i="2"/>
  <c r="E61" i="2"/>
  <c r="D61" i="2"/>
  <c r="C61" i="2"/>
  <c r="B61" i="2"/>
  <c r="A61" i="2"/>
  <c r="T60" i="2"/>
  <c r="S60" i="2"/>
  <c r="R60" i="2"/>
  <c r="Q60" i="2"/>
  <c r="P60" i="2"/>
  <c r="O60" i="2"/>
  <c r="N60" i="2"/>
  <c r="M60" i="2"/>
  <c r="L60" i="2"/>
  <c r="H60" i="2"/>
  <c r="G60" i="2"/>
  <c r="F60" i="2"/>
  <c r="E60" i="2"/>
  <c r="D60" i="2"/>
  <c r="C60" i="2"/>
  <c r="B60" i="2"/>
  <c r="A60" i="2"/>
  <c r="T59" i="2"/>
  <c r="S59" i="2"/>
  <c r="R59" i="2"/>
  <c r="Q59" i="2"/>
  <c r="P59" i="2"/>
  <c r="O59" i="2"/>
  <c r="N59" i="2"/>
  <c r="M59" i="2"/>
  <c r="L59" i="2"/>
  <c r="H59" i="2"/>
  <c r="G59" i="2"/>
  <c r="F59" i="2"/>
  <c r="E59" i="2"/>
  <c r="D59" i="2"/>
  <c r="C59" i="2"/>
  <c r="B59" i="2"/>
  <c r="A59" i="2"/>
  <c r="T58" i="2"/>
  <c r="S58" i="2"/>
  <c r="R58" i="2"/>
  <c r="Q58" i="2"/>
  <c r="P58" i="2"/>
  <c r="O58" i="2"/>
  <c r="N58" i="2"/>
  <c r="M58" i="2"/>
  <c r="L58" i="2"/>
  <c r="H58" i="2"/>
  <c r="G58" i="2"/>
  <c r="F58" i="2"/>
  <c r="E58" i="2"/>
  <c r="D58" i="2"/>
  <c r="C58" i="2"/>
  <c r="B58" i="2"/>
  <c r="A58" i="2"/>
  <c r="T57" i="2"/>
  <c r="S57" i="2"/>
  <c r="R57" i="2"/>
  <c r="Q57" i="2"/>
  <c r="P57" i="2"/>
  <c r="O57" i="2"/>
  <c r="N57" i="2"/>
  <c r="M57" i="2"/>
  <c r="L57" i="2"/>
  <c r="K57" i="2"/>
  <c r="J57" i="2"/>
  <c r="I57" i="2"/>
  <c r="H57" i="2"/>
  <c r="G57" i="2"/>
  <c r="F57" i="2"/>
  <c r="E57" i="2"/>
  <c r="D57" i="2"/>
  <c r="C57" i="2"/>
  <c r="B57" i="2"/>
  <c r="A57" i="2"/>
  <c r="T56" i="2"/>
  <c r="S56" i="2"/>
  <c r="R56" i="2"/>
  <c r="Q56" i="2"/>
  <c r="P56" i="2"/>
  <c r="O56" i="2"/>
  <c r="N56" i="2"/>
  <c r="M56" i="2"/>
  <c r="L56" i="2"/>
  <c r="K56" i="2"/>
  <c r="J56" i="2"/>
  <c r="I56" i="2"/>
  <c r="H56" i="2"/>
  <c r="G56" i="2"/>
  <c r="F56" i="2"/>
  <c r="E56" i="2"/>
  <c r="D56" i="2"/>
  <c r="C56" i="2"/>
  <c r="B56" i="2"/>
  <c r="A56" i="2"/>
  <c r="S55" i="2"/>
  <c r="R55" i="2"/>
  <c r="Q55" i="2"/>
  <c r="P55" i="2"/>
  <c r="O55" i="2"/>
  <c r="N55" i="2"/>
  <c r="M55" i="2"/>
  <c r="L55" i="2"/>
  <c r="K55" i="2"/>
  <c r="J55" i="2"/>
  <c r="I55" i="2"/>
  <c r="H55" i="2"/>
  <c r="G55" i="2"/>
  <c r="F55" i="2"/>
  <c r="E55" i="2"/>
  <c r="D55" i="2"/>
  <c r="C55" i="2"/>
  <c r="B55" i="2"/>
  <c r="A55" i="2"/>
  <c r="T54" i="2"/>
  <c r="S54" i="2"/>
  <c r="R54" i="2"/>
  <c r="Q54" i="2"/>
  <c r="P54" i="2"/>
  <c r="O54" i="2"/>
  <c r="N54" i="2"/>
  <c r="M54" i="2"/>
  <c r="L54" i="2"/>
  <c r="K54" i="2"/>
  <c r="J54" i="2"/>
  <c r="I54" i="2"/>
  <c r="H54" i="2"/>
  <c r="G54" i="2"/>
  <c r="F54" i="2"/>
  <c r="E54" i="2"/>
  <c r="D54" i="2"/>
  <c r="C54" i="2"/>
  <c r="B54" i="2"/>
  <c r="A54" i="2"/>
  <c r="T53" i="2"/>
  <c r="S53" i="2"/>
  <c r="R53" i="2"/>
  <c r="Q53" i="2"/>
  <c r="P53" i="2"/>
  <c r="O53" i="2"/>
  <c r="N53" i="2"/>
  <c r="M53" i="2"/>
  <c r="L53" i="2"/>
  <c r="K53" i="2"/>
  <c r="J53" i="2"/>
  <c r="I53" i="2"/>
  <c r="H53" i="2"/>
  <c r="G53" i="2"/>
  <c r="F53" i="2"/>
  <c r="E53" i="2"/>
  <c r="D53" i="2"/>
  <c r="C53" i="2"/>
  <c r="B53" i="2"/>
  <c r="A53" i="2"/>
  <c r="T52" i="2"/>
  <c r="S52" i="2"/>
  <c r="R52" i="2"/>
  <c r="Q52" i="2"/>
  <c r="P52" i="2"/>
  <c r="O52" i="2"/>
  <c r="N52" i="2"/>
  <c r="M52" i="2"/>
  <c r="L52" i="2"/>
  <c r="K52" i="2"/>
  <c r="J52" i="2"/>
  <c r="I52" i="2"/>
  <c r="H52" i="2"/>
  <c r="G52" i="2"/>
  <c r="F52" i="2"/>
  <c r="E52" i="2"/>
  <c r="D52" i="2"/>
  <c r="C52" i="2"/>
  <c r="B52" i="2"/>
  <c r="A52" i="2"/>
  <c r="T51" i="2"/>
  <c r="S51" i="2"/>
  <c r="R51" i="2"/>
  <c r="Q51" i="2"/>
  <c r="P51" i="2"/>
  <c r="O51" i="2"/>
  <c r="N51" i="2"/>
  <c r="M51" i="2"/>
  <c r="L51" i="2"/>
  <c r="K51" i="2"/>
  <c r="J51" i="2"/>
  <c r="I51" i="2"/>
  <c r="H51" i="2"/>
  <c r="G51" i="2"/>
  <c r="F51" i="2"/>
  <c r="E51" i="2"/>
  <c r="D51" i="2"/>
  <c r="C51" i="2"/>
  <c r="B51" i="2"/>
  <c r="A51" i="2"/>
  <c r="T50" i="2"/>
  <c r="S50" i="2"/>
  <c r="R50" i="2"/>
  <c r="Q50" i="2"/>
  <c r="P50" i="2"/>
  <c r="O50" i="2"/>
  <c r="N50" i="2"/>
  <c r="M50" i="2"/>
  <c r="L50" i="2"/>
  <c r="K50" i="2"/>
  <c r="J50" i="2"/>
  <c r="I50" i="2"/>
  <c r="H50" i="2"/>
  <c r="G50" i="2"/>
  <c r="F50" i="2"/>
  <c r="E50" i="2"/>
  <c r="D50" i="2"/>
  <c r="C50" i="2"/>
  <c r="B50" i="2"/>
  <c r="A50" i="2"/>
  <c r="T49" i="2"/>
  <c r="S49" i="2"/>
  <c r="R49" i="2"/>
  <c r="Q49" i="2"/>
  <c r="P49" i="2"/>
  <c r="O49" i="2"/>
  <c r="N49" i="2"/>
  <c r="M49" i="2"/>
  <c r="L49" i="2"/>
  <c r="K49" i="2"/>
  <c r="J49" i="2"/>
  <c r="I49" i="2"/>
  <c r="H49" i="2"/>
  <c r="G49" i="2"/>
  <c r="F49" i="2"/>
  <c r="E49" i="2"/>
  <c r="D49" i="2"/>
  <c r="C49" i="2"/>
  <c r="B49" i="2"/>
  <c r="A49" i="2"/>
  <c r="T48" i="2"/>
  <c r="S48" i="2"/>
  <c r="R48" i="2"/>
  <c r="Q48" i="2"/>
  <c r="P48" i="2"/>
  <c r="O48" i="2"/>
  <c r="N48" i="2"/>
  <c r="M48" i="2"/>
  <c r="L48" i="2"/>
  <c r="H48" i="2"/>
  <c r="G48" i="2"/>
  <c r="F48" i="2"/>
  <c r="E48" i="2"/>
  <c r="D48" i="2"/>
  <c r="C48" i="2"/>
  <c r="B48" i="2"/>
  <c r="A48" i="2"/>
  <c r="T47" i="2"/>
  <c r="S47" i="2"/>
  <c r="R47" i="2"/>
  <c r="Q47" i="2"/>
  <c r="P47" i="2"/>
  <c r="O47" i="2"/>
  <c r="N47" i="2"/>
  <c r="M47" i="2"/>
  <c r="L47" i="2"/>
  <c r="K47" i="2"/>
  <c r="J47" i="2"/>
  <c r="I47" i="2"/>
  <c r="H47" i="2"/>
  <c r="G47" i="2"/>
  <c r="F47" i="2"/>
  <c r="E47" i="2"/>
  <c r="D47" i="2"/>
  <c r="C47" i="2"/>
  <c r="B47" i="2"/>
  <c r="A47" i="2"/>
  <c r="T46" i="2"/>
  <c r="S46" i="2"/>
  <c r="R46" i="2"/>
  <c r="Q46" i="2"/>
  <c r="P46" i="2"/>
  <c r="O46" i="2"/>
  <c r="N46" i="2"/>
  <c r="M46" i="2"/>
  <c r="L46" i="2"/>
  <c r="H46" i="2"/>
  <c r="G46" i="2"/>
  <c r="F46" i="2"/>
  <c r="E46" i="2"/>
  <c r="D46" i="2"/>
  <c r="C46" i="2"/>
  <c r="B46" i="2"/>
  <c r="A46" i="2"/>
  <c r="T45" i="2"/>
  <c r="S45" i="2"/>
  <c r="R45" i="2"/>
  <c r="Q45" i="2"/>
  <c r="P45" i="2"/>
  <c r="O45" i="2"/>
  <c r="N45" i="2"/>
  <c r="M45" i="2"/>
  <c r="L45" i="2"/>
  <c r="H45" i="2"/>
  <c r="G45" i="2"/>
  <c r="F45" i="2"/>
  <c r="E45" i="2"/>
  <c r="D45" i="2"/>
  <c r="C45" i="2"/>
  <c r="B45" i="2"/>
  <c r="A45" i="2"/>
  <c r="T44" i="2"/>
  <c r="S44" i="2"/>
  <c r="R44" i="2"/>
  <c r="Q44" i="2"/>
  <c r="P44" i="2"/>
  <c r="O44" i="2"/>
  <c r="N44" i="2"/>
  <c r="M44" i="2"/>
  <c r="L44" i="2"/>
  <c r="K44" i="2"/>
  <c r="J44" i="2"/>
  <c r="I44" i="2"/>
  <c r="H44" i="2"/>
  <c r="G44" i="2"/>
  <c r="F44" i="2"/>
  <c r="E44" i="2"/>
  <c r="D44" i="2"/>
  <c r="C44" i="2"/>
  <c r="B44" i="2"/>
  <c r="A44" i="2"/>
  <c r="T43" i="2"/>
  <c r="S43" i="2"/>
  <c r="R43" i="2"/>
  <c r="Q43" i="2"/>
  <c r="P43" i="2"/>
  <c r="O43" i="2"/>
  <c r="N43" i="2"/>
  <c r="M43" i="2"/>
  <c r="L43" i="2"/>
  <c r="K43" i="2"/>
  <c r="J43" i="2"/>
  <c r="I43" i="2"/>
  <c r="H43" i="2"/>
  <c r="G43" i="2"/>
  <c r="F43" i="2"/>
  <c r="E43" i="2"/>
  <c r="D43" i="2"/>
  <c r="C43" i="2"/>
  <c r="B43" i="2"/>
  <c r="A43" i="2"/>
  <c r="T42" i="2"/>
  <c r="S42" i="2"/>
  <c r="R42" i="2"/>
  <c r="Q42" i="2"/>
  <c r="P42" i="2"/>
  <c r="O42" i="2"/>
  <c r="N42" i="2"/>
  <c r="M42" i="2"/>
  <c r="L42" i="2"/>
  <c r="K42" i="2"/>
  <c r="J42" i="2"/>
  <c r="I42" i="2"/>
  <c r="H42" i="2"/>
  <c r="G42" i="2"/>
  <c r="F42" i="2"/>
  <c r="E42" i="2"/>
  <c r="D42" i="2"/>
  <c r="C42" i="2"/>
  <c r="B42" i="2"/>
  <c r="A42" i="2"/>
  <c r="T41" i="2"/>
  <c r="S41" i="2"/>
  <c r="R41" i="2"/>
  <c r="Q41" i="2"/>
  <c r="P41" i="2"/>
  <c r="O41" i="2"/>
  <c r="N41" i="2"/>
  <c r="M41" i="2"/>
  <c r="L41" i="2"/>
  <c r="K41" i="2"/>
  <c r="J41" i="2"/>
  <c r="I41" i="2"/>
  <c r="H41" i="2"/>
  <c r="G41" i="2"/>
  <c r="F41" i="2"/>
  <c r="E41" i="2"/>
  <c r="D41" i="2"/>
  <c r="C41" i="2"/>
  <c r="B41" i="2"/>
  <c r="A41" i="2"/>
  <c r="T40" i="2"/>
  <c r="S40" i="2"/>
  <c r="R40" i="2"/>
  <c r="Q40" i="2"/>
  <c r="P40" i="2"/>
  <c r="O40" i="2"/>
  <c r="N40" i="2"/>
  <c r="M40" i="2"/>
  <c r="L40" i="2"/>
  <c r="K40" i="2"/>
  <c r="J40" i="2"/>
  <c r="I40" i="2"/>
  <c r="H40" i="2"/>
  <c r="G40" i="2"/>
  <c r="F40" i="2"/>
  <c r="E40" i="2"/>
  <c r="D40" i="2"/>
  <c r="C40" i="2"/>
  <c r="B40" i="2"/>
  <c r="A40" i="2"/>
  <c r="Q39" i="2"/>
  <c r="P39" i="2"/>
  <c r="O39" i="2"/>
  <c r="N39" i="2"/>
  <c r="M39" i="2"/>
  <c r="L39" i="2"/>
  <c r="K39" i="2"/>
  <c r="J39" i="2"/>
  <c r="I39" i="2"/>
  <c r="H39" i="2"/>
  <c r="G39" i="2"/>
  <c r="F39" i="2"/>
  <c r="E39" i="2"/>
  <c r="D39" i="2"/>
  <c r="C39" i="2"/>
  <c r="B39" i="2"/>
  <c r="A39" i="2"/>
  <c r="Q38" i="2"/>
  <c r="P38" i="2"/>
  <c r="O38" i="2"/>
  <c r="N38" i="2"/>
  <c r="M38" i="2"/>
  <c r="L38" i="2"/>
  <c r="H38" i="2"/>
  <c r="G38" i="2"/>
  <c r="F38" i="2"/>
  <c r="E38" i="2"/>
  <c r="D38" i="2"/>
  <c r="C38" i="2"/>
  <c r="B38" i="2"/>
  <c r="A38" i="2"/>
  <c r="Q37" i="2"/>
  <c r="P37" i="2"/>
  <c r="O37" i="2"/>
  <c r="N37" i="2"/>
  <c r="M37" i="2"/>
  <c r="L37" i="2"/>
  <c r="K37" i="2"/>
  <c r="J37" i="2"/>
  <c r="I37" i="2"/>
  <c r="H37" i="2"/>
  <c r="G37" i="2"/>
  <c r="F37" i="2"/>
  <c r="E37" i="2"/>
  <c r="D37" i="2"/>
  <c r="C37" i="2"/>
  <c r="B37" i="2"/>
  <c r="A37" i="2"/>
  <c r="Q36" i="2"/>
  <c r="P36" i="2"/>
  <c r="O36" i="2"/>
  <c r="N36" i="2"/>
  <c r="M36" i="2"/>
  <c r="L36" i="2"/>
  <c r="K36" i="2"/>
  <c r="J36" i="2"/>
  <c r="I36" i="2"/>
  <c r="H36" i="2"/>
  <c r="G36" i="2"/>
  <c r="F36" i="2"/>
  <c r="E36" i="2"/>
  <c r="D36" i="2"/>
  <c r="C36" i="2"/>
  <c r="B36" i="2"/>
  <c r="A36" i="2"/>
  <c r="Q35" i="2"/>
  <c r="P35" i="2"/>
  <c r="O35" i="2"/>
  <c r="N35" i="2"/>
  <c r="M35" i="2"/>
  <c r="L35" i="2"/>
  <c r="K35" i="2"/>
  <c r="J35" i="2"/>
  <c r="I35" i="2"/>
  <c r="H35" i="2"/>
  <c r="G35" i="2"/>
  <c r="F35" i="2"/>
  <c r="E35" i="2"/>
  <c r="D35" i="2"/>
  <c r="C35" i="2"/>
  <c r="B35" i="2"/>
  <c r="A35" i="2"/>
  <c r="T34" i="2"/>
  <c r="S34" i="2"/>
  <c r="R34" i="2"/>
  <c r="Q34" i="2"/>
  <c r="P34" i="2"/>
  <c r="O34" i="2"/>
  <c r="N34" i="2"/>
  <c r="M34" i="2"/>
  <c r="L34" i="2"/>
  <c r="K34" i="2"/>
  <c r="J34" i="2"/>
  <c r="I34" i="2"/>
  <c r="H34" i="2"/>
  <c r="G34" i="2"/>
  <c r="F34" i="2"/>
  <c r="E34" i="2"/>
  <c r="D34" i="2"/>
  <c r="C34" i="2"/>
  <c r="B34" i="2"/>
  <c r="A34" i="2"/>
  <c r="T33" i="2"/>
  <c r="S33" i="2"/>
  <c r="R33" i="2"/>
  <c r="Q33" i="2"/>
  <c r="P33" i="2"/>
  <c r="O33" i="2"/>
  <c r="N33" i="2"/>
  <c r="M33" i="2"/>
  <c r="L33" i="2"/>
  <c r="K33" i="2"/>
  <c r="J33" i="2"/>
  <c r="I33" i="2"/>
  <c r="H33" i="2"/>
  <c r="G33" i="2"/>
  <c r="F33" i="2"/>
  <c r="E33" i="2"/>
  <c r="D33" i="2"/>
  <c r="C33" i="2"/>
  <c r="B33" i="2"/>
  <c r="A33" i="2"/>
  <c r="T32" i="2"/>
  <c r="S32" i="2"/>
  <c r="R32" i="2"/>
  <c r="Q32" i="2"/>
  <c r="P32" i="2"/>
  <c r="O32" i="2"/>
  <c r="N32" i="2"/>
  <c r="M32" i="2"/>
  <c r="L32" i="2"/>
  <c r="K32" i="2"/>
  <c r="J32" i="2"/>
  <c r="I32" i="2"/>
  <c r="H32" i="2"/>
  <c r="G32" i="2"/>
  <c r="F32" i="2"/>
  <c r="E32" i="2"/>
  <c r="D32" i="2"/>
  <c r="C32" i="2"/>
  <c r="B32" i="2"/>
  <c r="A32" i="2"/>
  <c r="T31" i="2"/>
  <c r="S31" i="2"/>
  <c r="R31" i="2"/>
  <c r="Q31" i="2"/>
  <c r="P31" i="2"/>
  <c r="O31" i="2"/>
  <c r="N31" i="2"/>
  <c r="M31" i="2"/>
  <c r="L31" i="2"/>
  <c r="K31" i="2"/>
  <c r="J31" i="2"/>
  <c r="I31" i="2"/>
  <c r="H31" i="2"/>
  <c r="G31" i="2"/>
  <c r="F31" i="2"/>
  <c r="E31" i="2"/>
  <c r="D31" i="2"/>
  <c r="C31" i="2"/>
  <c r="B31" i="2"/>
  <c r="A31" i="2"/>
  <c r="T30" i="2"/>
  <c r="S30" i="2"/>
  <c r="R30" i="2"/>
  <c r="Q30" i="2"/>
  <c r="P30" i="2"/>
  <c r="O30" i="2"/>
  <c r="N30" i="2"/>
  <c r="M30" i="2"/>
  <c r="L30" i="2"/>
  <c r="K30" i="2"/>
  <c r="J30" i="2"/>
  <c r="I30" i="2"/>
  <c r="H30" i="2"/>
  <c r="G30" i="2"/>
  <c r="F30" i="2"/>
  <c r="E30" i="2"/>
  <c r="D30" i="2"/>
  <c r="C30" i="2"/>
  <c r="B30" i="2"/>
  <c r="A30" i="2"/>
  <c r="T29" i="2"/>
  <c r="S29" i="2"/>
  <c r="R29" i="2"/>
  <c r="Q29" i="2"/>
  <c r="P29" i="2"/>
  <c r="O29" i="2"/>
  <c r="N29" i="2"/>
  <c r="M29" i="2"/>
  <c r="L29" i="2"/>
  <c r="K29" i="2"/>
  <c r="J29" i="2"/>
  <c r="I29" i="2"/>
  <c r="H29" i="2"/>
  <c r="G29" i="2"/>
  <c r="F29" i="2"/>
  <c r="E29" i="2"/>
  <c r="D29" i="2"/>
  <c r="C29" i="2"/>
  <c r="B29" i="2"/>
  <c r="A29" i="2"/>
  <c r="T28" i="2"/>
  <c r="S28" i="2"/>
  <c r="R28" i="2"/>
  <c r="Q28" i="2"/>
  <c r="P28" i="2"/>
  <c r="O28" i="2"/>
  <c r="N28" i="2"/>
  <c r="M28" i="2"/>
  <c r="L28" i="2"/>
  <c r="K28" i="2"/>
  <c r="J28" i="2"/>
  <c r="I28" i="2"/>
  <c r="H28" i="2"/>
  <c r="G28" i="2"/>
  <c r="F28" i="2"/>
  <c r="E28" i="2"/>
  <c r="D28" i="2"/>
  <c r="C28" i="2"/>
  <c r="B28" i="2"/>
  <c r="A28" i="2"/>
  <c r="S27" i="2"/>
  <c r="R27" i="2"/>
  <c r="P27" i="2"/>
  <c r="O27" i="2"/>
  <c r="M27" i="2"/>
  <c r="L27" i="2"/>
  <c r="J27" i="2"/>
  <c r="I27" i="2"/>
  <c r="H27" i="2"/>
  <c r="G27" i="2"/>
  <c r="F27" i="2"/>
  <c r="E27" i="2"/>
  <c r="D27" i="2"/>
  <c r="C27" i="2"/>
  <c r="B27" i="2"/>
  <c r="A27" i="2"/>
  <c r="S26" i="2"/>
  <c r="R26" i="2"/>
  <c r="P26" i="2"/>
  <c r="O26" i="2"/>
  <c r="M26" i="2"/>
  <c r="L26" i="2"/>
  <c r="J26" i="2"/>
  <c r="I26" i="2"/>
  <c r="H26" i="2"/>
  <c r="G26" i="2"/>
  <c r="F26" i="2"/>
  <c r="E26" i="2"/>
  <c r="D26" i="2"/>
  <c r="C26" i="2"/>
  <c r="B26" i="2"/>
  <c r="A26" i="2"/>
  <c r="S25" i="2"/>
  <c r="R25" i="2"/>
  <c r="P25" i="2"/>
  <c r="O25" i="2"/>
  <c r="M25" i="2"/>
  <c r="L25" i="2"/>
  <c r="J25" i="2"/>
  <c r="I25" i="2"/>
  <c r="H25" i="2"/>
  <c r="G25" i="2"/>
  <c r="F25" i="2"/>
  <c r="E25" i="2"/>
  <c r="D25" i="2"/>
  <c r="C25" i="2"/>
  <c r="B25" i="2"/>
  <c r="A25" i="2"/>
  <c r="S24" i="2"/>
  <c r="R24" i="2"/>
  <c r="P24" i="2"/>
  <c r="O24" i="2"/>
  <c r="M24" i="2"/>
  <c r="L24" i="2"/>
  <c r="J24" i="2"/>
  <c r="I24" i="2"/>
  <c r="H24" i="2"/>
  <c r="G24" i="2"/>
  <c r="F24" i="2"/>
  <c r="E24" i="2"/>
  <c r="D24" i="2"/>
  <c r="C24" i="2"/>
  <c r="B24" i="2"/>
  <c r="A24" i="2"/>
  <c r="S23" i="2"/>
  <c r="R23" i="2"/>
  <c r="P23" i="2"/>
  <c r="O23" i="2"/>
  <c r="M23" i="2"/>
  <c r="L23" i="2"/>
  <c r="J23" i="2"/>
  <c r="I23" i="2"/>
  <c r="H23" i="2"/>
  <c r="G23" i="2"/>
  <c r="F23" i="2"/>
  <c r="E23" i="2"/>
  <c r="D23" i="2"/>
  <c r="C23" i="2"/>
  <c r="B23" i="2"/>
  <c r="A23" i="2"/>
  <c r="S22" i="2"/>
  <c r="R22" i="2"/>
  <c r="P22" i="2"/>
  <c r="O22" i="2"/>
  <c r="M22" i="2"/>
  <c r="L22" i="2"/>
  <c r="J22" i="2"/>
  <c r="I22" i="2"/>
  <c r="H22" i="2"/>
  <c r="G22" i="2"/>
  <c r="F22" i="2"/>
  <c r="E22" i="2"/>
  <c r="D22" i="2"/>
  <c r="C22" i="2"/>
  <c r="B22" i="2"/>
  <c r="A22" i="2"/>
  <c r="S21" i="2"/>
  <c r="R21" i="2"/>
  <c r="P21" i="2"/>
  <c r="O21" i="2"/>
  <c r="M21" i="2"/>
  <c r="L21" i="2"/>
  <c r="J21" i="2"/>
  <c r="I21" i="2"/>
  <c r="H21" i="2"/>
  <c r="G21" i="2"/>
  <c r="F21" i="2"/>
  <c r="E21" i="2"/>
  <c r="D21" i="2"/>
  <c r="C21" i="2"/>
  <c r="B21" i="2"/>
  <c r="A21" i="2"/>
  <c r="S20" i="2"/>
  <c r="R20" i="2"/>
  <c r="P20" i="2"/>
  <c r="O20" i="2"/>
  <c r="M20" i="2"/>
  <c r="L20" i="2"/>
  <c r="J20" i="2"/>
  <c r="I20" i="2"/>
  <c r="H20" i="2"/>
  <c r="G20" i="2"/>
  <c r="F20" i="2"/>
  <c r="E20" i="2"/>
  <c r="D20" i="2"/>
  <c r="C20" i="2"/>
  <c r="B20" i="2"/>
  <c r="A20" i="2"/>
  <c r="S19" i="2"/>
  <c r="R19" i="2"/>
  <c r="P19" i="2"/>
  <c r="O19" i="2"/>
  <c r="M19" i="2"/>
  <c r="L19" i="2"/>
  <c r="J19" i="2"/>
  <c r="I19" i="2"/>
  <c r="H19" i="2"/>
  <c r="G19" i="2"/>
  <c r="F19" i="2"/>
  <c r="E19" i="2"/>
  <c r="D19" i="2"/>
  <c r="C19" i="2"/>
  <c r="B19" i="2"/>
  <c r="A19" i="2"/>
  <c r="T18" i="2"/>
  <c r="S18" i="2"/>
  <c r="R18" i="2"/>
  <c r="Q18" i="2"/>
  <c r="P18" i="2"/>
  <c r="O18" i="2"/>
  <c r="N18" i="2"/>
  <c r="M18" i="2"/>
  <c r="K18" i="2"/>
  <c r="J18" i="2"/>
  <c r="I18" i="2"/>
  <c r="H18" i="2"/>
  <c r="G18" i="2"/>
  <c r="F18" i="2"/>
  <c r="E18" i="2"/>
  <c r="D18" i="2"/>
  <c r="C18" i="2"/>
  <c r="B18" i="2"/>
  <c r="A18" i="2"/>
  <c r="T17" i="2"/>
  <c r="S17" i="2"/>
  <c r="R17" i="2"/>
  <c r="Q17" i="2"/>
  <c r="P17" i="2"/>
  <c r="O17" i="2"/>
  <c r="N17" i="2"/>
  <c r="M17" i="2"/>
  <c r="L17" i="2"/>
  <c r="K17" i="2"/>
  <c r="J17" i="2"/>
  <c r="I17" i="2"/>
  <c r="H17" i="2"/>
  <c r="G17" i="2"/>
  <c r="F17" i="2"/>
  <c r="E17" i="2"/>
  <c r="D17" i="2"/>
  <c r="C17" i="2"/>
  <c r="B17" i="2"/>
  <c r="A17" i="2"/>
  <c r="T16" i="2"/>
  <c r="S16" i="2"/>
  <c r="R16" i="2"/>
  <c r="Q16" i="2"/>
  <c r="P16" i="2"/>
  <c r="O16" i="2"/>
  <c r="N16" i="2"/>
  <c r="M16" i="2"/>
  <c r="L16" i="2"/>
  <c r="K16" i="2"/>
  <c r="J16" i="2"/>
  <c r="I16" i="2"/>
  <c r="H16" i="2"/>
  <c r="G16" i="2"/>
  <c r="F16" i="2"/>
  <c r="E16" i="2"/>
  <c r="D16" i="2"/>
  <c r="C16" i="2"/>
  <c r="B16" i="2"/>
  <c r="A16" i="2"/>
  <c r="T15" i="2"/>
  <c r="S15" i="2"/>
  <c r="R15" i="2"/>
  <c r="Q15" i="2"/>
  <c r="P15" i="2"/>
  <c r="O15" i="2"/>
  <c r="N15" i="2"/>
  <c r="M15" i="2"/>
  <c r="K15" i="2"/>
  <c r="J15" i="2"/>
  <c r="H15" i="2"/>
  <c r="G15" i="2"/>
  <c r="F15" i="2"/>
  <c r="E15" i="2"/>
  <c r="D15" i="2"/>
  <c r="C15" i="2"/>
  <c r="B15" i="2"/>
  <c r="A15" i="2"/>
  <c r="T14" i="2"/>
  <c r="S14" i="2"/>
  <c r="R14" i="2"/>
  <c r="Q14" i="2"/>
  <c r="P14" i="2"/>
  <c r="O14" i="2"/>
  <c r="N14" i="2"/>
  <c r="M14" i="2"/>
  <c r="L14" i="2"/>
  <c r="K14" i="2"/>
  <c r="J14" i="2"/>
  <c r="I14" i="2"/>
  <c r="H14" i="2"/>
  <c r="G14" i="2"/>
  <c r="F14" i="2"/>
  <c r="E14" i="2"/>
  <c r="D14" i="2"/>
  <c r="C14" i="2"/>
  <c r="B14" i="2"/>
  <c r="A14" i="2"/>
  <c r="T13" i="2"/>
  <c r="S13" i="2"/>
  <c r="R13" i="2"/>
  <c r="Q13" i="2"/>
  <c r="P13" i="2"/>
  <c r="O13" i="2"/>
  <c r="N13" i="2"/>
  <c r="M13" i="2"/>
  <c r="L13" i="2"/>
  <c r="K13" i="2"/>
  <c r="J13" i="2"/>
  <c r="I13" i="2"/>
  <c r="H13" i="2"/>
  <c r="G13" i="2"/>
  <c r="F13" i="2"/>
  <c r="E13" i="2"/>
  <c r="D13" i="2"/>
  <c r="C13" i="2"/>
  <c r="B13" i="2"/>
  <c r="A13" i="2"/>
  <c r="T12" i="2"/>
  <c r="S12" i="2"/>
  <c r="R12" i="2"/>
  <c r="Q12" i="2"/>
  <c r="P12" i="2"/>
  <c r="O12" i="2"/>
  <c r="N12" i="2"/>
  <c r="M12" i="2"/>
  <c r="L12" i="2"/>
  <c r="K12" i="2"/>
  <c r="J12" i="2"/>
  <c r="I12" i="2"/>
  <c r="H12" i="2"/>
  <c r="G12" i="2"/>
  <c r="F12" i="2"/>
  <c r="E12" i="2"/>
  <c r="D12" i="2"/>
  <c r="C12" i="2"/>
  <c r="B12" i="2"/>
  <c r="A12" i="2"/>
  <c r="T11" i="2"/>
  <c r="S11" i="2"/>
  <c r="R11" i="2"/>
  <c r="Q11" i="2"/>
  <c r="P11" i="2"/>
  <c r="O11" i="2"/>
  <c r="N11" i="2"/>
  <c r="M11" i="2"/>
  <c r="L11" i="2"/>
  <c r="K11" i="2"/>
  <c r="J11" i="2"/>
  <c r="I11" i="2"/>
  <c r="H11" i="2"/>
  <c r="G11" i="2"/>
  <c r="F11" i="2"/>
  <c r="E11" i="2"/>
  <c r="D11" i="2"/>
  <c r="C11" i="2"/>
  <c r="B11" i="2"/>
  <c r="A11" i="2"/>
  <c r="T10" i="2"/>
  <c r="S10" i="2"/>
  <c r="R10" i="2"/>
  <c r="Q10" i="2"/>
  <c r="P10" i="2"/>
  <c r="O10" i="2"/>
  <c r="N10" i="2"/>
  <c r="M10" i="2"/>
  <c r="L10" i="2"/>
  <c r="K10" i="2"/>
  <c r="J10" i="2"/>
  <c r="I10" i="2"/>
  <c r="H10" i="2"/>
  <c r="G10" i="2"/>
  <c r="F10" i="2"/>
  <c r="E10" i="2"/>
  <c r="D10" i="2"/>
  <c r="C10" i="2"/>
  <c r="B10" i="2"/>
  <c r="A10" i="2"/>
  <c r="T9" i="2"/>
  <c r="S9" i="2"/>
  <c r="R9" i="2"/>
  <c r="Q9" i="2"/>
  <c r="P9" i="2"/>
  <c r="O9" i="2"/>
  <c r="N9" i="2"/>
  <c r="M9" i="2"/>
  <c r="K9" i="2"/>
  <c r="J9" i="2"/>
  <c r="H9" i="2"/>
  <c r="G9" i="2"/>
  <c r="F9" i="2"/>
  <c r="E9" i="2"/>
  <c r="D9" i="2"/>
  <c r="C9" i="2"/>
  <c r="B9" i="2"/>
  <c r="A9" i="2"/>
  <c r="T8" i="2"/>
  <c r="S8" i="2"/>
  <c r="R8" i="2"/>
  <c r="Q8" i="2"/>
  <c r="P8" i="2"/>
  <c r="O8" i="2"/>
  <c r="N8" i="2"/>
  <c r="L8" i="2"/>
  <c r="K8" i="2"/>
  <c r="I8" i="2"/>
  <c r="H8" i="2"/>
  <c r="G8" i="2"/>
  <c r="F8" i="2"/>
  <c r="E8" i="2"/>
  <c r="D8" i="2"/>
  <c r="C8" i="2"/>
  <c r="B8" i="2"/>
  <c r="A8" i="2"/>
  <c r="T7" i="2"/>
  <c r="S7" i="2"/>
  <c r="R7" i="2"/>
  <c r="Q7" i="2"/>
  <c r="P7" i="2"/>
  <c r="O7" i="2"/>
  <c r="N7" i="2"/>
  <c r="L7" i="2"/>
  <c r="K7" i="2"/>
  <c r="I7" i="2"/>
  <c r="H7" i="2"/>
  <c r="G7" i="2"/>
  <c r="F7" i="2"/>
  <c r="E7" i="2"/>
  <c r="D7" i="2"/>
  <c r="C7" i="2"/>
  <c r="B7" i="2"/>
  <c r="A7" i="2"/>
  <c r="T6" i="2"/>
  <c r="S6" i="2"/>
  <c r="R6" i="2"/>
  <c r="Q6" i="2"/>
  <c r="P6" i="2"/>
  <c r="O6" i="2"/>
  <c r="N6" i="2"/>
  <c r="L6" i="2"/>
  <c r="K6" i="2"/>
  <c r="I6" i="2"/>
  <c r="H6" i="2"/>
  <c r="G6" i="2"/>
  <c r="F6" i="2"/>
  <c r="E6" i="2"/>
  <c r="D6" i="2"/>
  <c r="C6" i="2"/>
  <c r="B6" i="2"/>
  <c r="A6" i="2"/>
  <c r="T5" i="2"/>
  <c r="S5" i="2"/>
  <c r="R5" i="2"/>
  <c r="Q5" i="2"/>
  <c r="P5" i="2"/>
  <c r="O5" i="2"/>
  <c r="N5" i="2"/>
  <c r="L5" i="2"/>
  <c r="K5" i="2"/>
  <c r="I5" i="2"/>
  <c r="H5" i="2"/>
  <c r="G5" i="2"/>
  <c r="F5" i="2"/>
  <c r="E5" i="2"/>
  <c r="D5" i="2"/>
  <c r="C5" i="2"/>
  <c r="B5" i="2"/>
  <c r="A5" i="2"/>
</calcChain>
</file>

<file path=xl/sharedStrings.xml><?xml version="1.0" encoding="utf-8"?>
<sst xmlns="http://schemas.openxmlformats.org/spreadsheetml/2006/main" count="27" uniqueCount="18">
  <si>
    <t>PLAN DE ACCIÓN ANUAL - MIPG</t>
  </si>
  <si>
    <t>Fecha de Vigencia: Enero 18 de 2019</t>
  </si>
  <si>
    <t>SEGUIMIENTO A 30-03-22</t>
  </si>
  <si>
    <t>SEGUIMIENTO A 30-06-22</t>
  </si>
  <si>
    <t>SEGUIMIENTO A 30-09-22</t>
  </si>
  <si>
    <t>SEGUIMIENTO A 30-12-22</t>
  </si>
  <si>
    <t>DIMENSIÓN</t>
  </si>
  <si>
    <t>POLÍTICA</t>
  </si>
  <si>
    <t>ACTIVIDAD</t>
  </si>
  <si>
    <t xml:space="preserve">PRODUCTO </t>
  </si>
  <si>
    <t>INDICADOR/
META</t>
  </si>
  <si>
    <t>FECHA DE INICIO
(dd/mm/aaaa)</t>
  </si>
  <si>
    <t>FECHA DE TERMINACIÓN
(dd/mm/aaaa)</t>
  </si>
  <si>
    <t>RESPONSABLE</t>
  </si>
  <si>
    <t>% DE AVANCE</t>
  </si>
  <si>
    <t>EVIDENCIAS</t>
  </si>
  <si>
    <t>Fecha</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</si>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</sst>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d\-m\-yyyy"/>
  </numFmts>
  <fonts count="7" x14ac:knownFonts="1">
    <font>
      <sz val="10"/>
      <color rgb="FF000000"/>
      <name val="Arial"/>
      <scheme val="minor"/>
    </font>
    <font>
      <sz val="10"/>
      <color theme="1"/>
      <name val="Arial"/>
      <scheme val="minor"/>
    </font>
    <font>
      <sz val="11"/>
      <color theme="1"/>
      <name val="Arial"/>
    </font>
    <font>
      <b/>
      <sz val="12"/>
      <color theme="1"/>
      <name val="Arial"/>
    </font>
    <font>
      <sz val="11"/>
      <color theme="1"/>
      <name val="Calibri"/>
    </font>
    <font>
      <b/>
      <sz val="10"/>
      <color theme="1"/>
      <name val="Arial"/>
    </font>
    <font>
      <u/>
      <sz val="10"/>
      <color rgb="FF0000FF"/>
      <name val="Arial"/>
    </font>
  </fonts>
  <fills count="4">
    <fill>
      <patternFill patternType="none"/>
    </fill>
    <fill>
      <patternFill patternType="gray125"/>
    </fill>
    <fill>
      <patternFill patternType="solid">
        <fgColor rgb="FFFBD4B4"/>
        <bgColor rgb="FFFBD4B4"/>
      </patternFill>
    </fill>
    <fill>
      <patternFill patternType="solid">
        <fgColor rgb="FFB6DDE8"/>
        <bgColor rgb="FFB6DDE8"/>
      </patternFill>
    </fill>
  </fills>
  <borders count="2">
    <border>
      <left/>
      <right/>
      <top/>
      <bottom/>
      <diagonal/>
    </border>
    <border>
      <left/>
      <right/>
      <top/>
      <bottom/>
      <diagonal/>
    </border>
  </borders>
  <cellStyleXfs count="1">
    <xf numFmtId="0" fontId="0" fillId="0" borderId="0"/>
  </cellStyleXfs>
  <cellXfs count="19">
    <xf numFmtId="0" fontId="0" fillId="0" borderId="0" xfId="0"/>
    <xf numFmtId="0" fontId="2" fillId="0" borderId="0" xfId="0" applyFont="1" applyAlignment="1">
      <alignment vertical="center" wrapText="1"/>
    </xf>
    <xf numFmtId="9" fontId="2" fillId="0" borderId="0" xfId="0" applyNumberFormat="1" applyFont="1" applyAlignment="1">
      <alignment vertical="center" wrapText="1"/>
    </xf>
    <xf numFmtId="0" fontId="2" fillId="0" borderId="0" xfId="0" applyFont="1"/>
    <xf numFmtId="0" fontId="2" fillId="2" borderId="1" xfId="0" applyFont="1" applyFill="1" applyBorder="1" applyAlignment="1">
      <alignment vertical="center" wrapText="1"/>
    </xf>
    <xf numFmtId="0" fontId="2" fillId="2" borderId="0" xfId="0" applyFont="1" applyFill="1" applyAlignment="1">
      <alignment vertical="center" wrapText="1"/>
    </xf>
    <xf numFmtId="0" fontId="5" fillId="3" borderId="0" xfId="0" applyFont="1" applyFill="1" applyAlignment="1">
      <alignment horizontal="center" vertical="center" wrapText="1"/>
    </xf>
    <xf numFmtId="164" fontId="5" fillId="3" borderId="0" xfId="0" applyNumberFormat="1" applyFont="1" applyFill="1" applyAlignment="1">
      <alignment horizontal="center" vertical="center" wrapText="1"/>
    </xf>
    <xf numFmtId="9"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1" fillId="0" borderId="0" xfId="0" applyFont="1" applyAlignment="1">
      <alignment vertical="center" wrapText="1"/>
    </xf>
    <xf numFmtId="165" fontId="1" fillId="0" borderId="0" xfId="0" applyNumberFormat="1" applyFont="1" applyAlignment="1">
      <alignment vertical="center" wrapText="1"/>
    </xf>
    <xf numFmtId="9" fontId="1" fillId="0" borderId="0" xfId="0" applyNumberFormat="1" applyFont="1" applyAlignment="1">
      <alignment vertical="center" wrapText="1"/>
    </xf>
    <xf numFmtId="166" fontId="1" fillId="0" borderId="0" xfId="0" applyNumberFormat="1"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0" fillId="0" borderId="0" xfId="0"/>
    <xf numFmtId="0" fontId="2" fillId="0" borderId="0" xfId="0" applyFont="1" applyAlignment="1">
      <alignment vertical="center" wrapText="1"/>
    </xf>
    <xf numFmtId="0" fontId="4"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fKr4DsAuA5TNFDFw04xes09eDYtN37SI?usp=share_link" TargetMode="External"/><Relationship Id="rId13" Type="http://schemas.openxmlformats.org/officeDocument/2006/relationships/hyperlink" Target="https://docs.google.com/document/d/1RR76Z_d8brAHp96-MpatCkGK0o0MApDj/edit?usp=sharing&amp;ouid=102456040259753719878&amp;rtpof=true&amp;sd=true" TargetMode="External"/><Relationship Id="rId3" Type="http://schemas.openxmlformats.org/officeDocument/2006/relationships/hyperlink" Target="https://docs.google.com/spreadsheets/d/1bQ90lIRFSMp58bPImW7dsEfp46MlT3_v/edit?usp=sharing&amp;ouid=109814808864588808283&amp;rtpof=true&amp;sd=true" TargetMode="External"/><Relationship Id="rId7" Type="http://schemas.openxmlformats.org/officeDocument/2006/relationships/hyperlink" Target="https://drive.google.com/drive/folders/1lqc4si5fUGO6sKTCjL-UBTP5Xe4wcTMl?usp=sharing" TargetMode="External"/><Relationship Id="rId12" Type="http://schemas.openxmlformats.org/officeDocument/2006/relationships/hyperlink" Target="https://docs.google.com/document/d/1RR76Z_d8brAHp96-MpatCkGK0o0MApDj/edit?usp=sharing&amp;ouid=102456040259753719878&amp;rtpof=true&amp;sd=true" TargetMode="External"/><Relationship Id="rId2" Type="http://schemas.openxmlformats.org/officeDocument/2006/relationships/hyperlink" Target="https://drive.google.com/drive/folders/1aerUG0u_QHWrW5YxAQ2r64CRftuwRN4p?usp=sharing" TargetMode="External"/><Relationship Id="rId1" Type="http://schemas.openxmlformats.org/officeDocument/2006/relationships/hyperlink" Target="https://drive.google.com/drive/folders/1lqc4si5fUGO6sKTCjL-UBTP5Xe4wcTMl?usp=sharing" TargetMode="External"/><Relationship Id="rId6" Type="http://schemas.openxmlformats.org/officeDocument/2006/relationships/hyperlink" Target="https://drive.google.com/drive/folders/1_RZIIgnWz0i_7jcudvrF2PVdPz-nh65v?usp=share_link" TargetMode="External"/><Relationship Id="rId11" Type="http://schemas.openxmlformats.org/officeDocument/2006/relationships/hyperlink" Target="https://docs.google.com/document/d/1RR76Z_d8brAHp96-MpatCkGK0o0MApDj/edit?usp=sharing&amp;ouid=102456040259753719878&amp;rtpof=true&amp;sd=true" TargetMode="External"/><Relationship Id="rId5" Type="http://schemas.openxmlformats.org/officeDocument/2006/relationships/hyperlink" Target="https://drive.google.com/drive/folders/1CWeI16MENTkuNd5DBnV9M3-2m-i8nptg?usp=sharing" TargetMode="External"/><Relationship Id="rId10" Type="http://schemas.openxmlformats.org/officeDocument/2006/relationships/hyperlink" Target="https://drive.google.com/file/d/14FmxacefvD0IYgmlVQiickvrTeQGGDUi/view?usp=sharing" TargetMode="External"/><Relationship Id="rId4" Type="http://schemas.openxmlformats.org/officeDocument/2006/relationships/hyperlink" Target="https://docs.google.com/spreadsheets/d/1bQ90lIRFSMp58bPImW7dsEfp46MlT3_v/edit?usp=sharing&amp;ouid=109814808864588808283&amp;rtpof=true&amp;sd=true" TargetMode="External"/><Relationship Id="rId9" Type="http://schemas.openxmlformats.org/officeDocument/2006/relationships/hyperlink" Target="https://www.pereira.gov.co/documentos/43/normatividad-de-orden-territorial/" TargetMode="External"/><Relationship Id="rId14" Type="http://schemas.openxmlformats.org/officeDocument/2006/relationships/hyperlink" Target="https://docs.google.com/document/d/1RR76Z_d8brAHp96-MpatCkGK0o0MApDj/edit?usp=sharing&amp;ouid=102456040259753719878&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tabSelected="1" workbookViewId="0">
      <pane ySplit="4" topLeftCell="A5" activePane="bottomLeft" state="frozen"/>
      <selection pane="bottomLeft" activeCell="B6" sqref="B6"/>
    </sheetView>
  </sheetViews>
  <sheetFormatPr baseColWidth="10" defaultColWidth="12.5703125" defaultRowHeight="15.75" customHeight="1" x14ac:dyDescent="0.2"/>
  <cols>
    <col min="1" max="1" width="20.28515625" customWidth="1"/>
    <col min="3" max="3" width="20" customWidth="1"/>
    <col min="4" max="4" width="22.28515625" customWidth="1"/>
    <col min="5" max="5" width="18.42578125" customWidth="1"/>
    <col min="8" max="8" width="19.85546875" customWidth="1"/>
    <col min="10" max="10" width="36.85546875" customWidth="1"/>
    <col min="13" max="13" width="41.5703125" customWidth="1"/>
  </cols>
  <sheetData>
    <row r="1" spans="1:29" ht="14.25" x14ac:dyDescent="0.2">
      <c r="A1" s="1"/>
      <c r="B1" s="1"/>
      <c r="C1" s="1"/>
      <c r="D1" s="1"/>
      <c r="E1" s="15" t="s">
        <v>0</v>
      </c>
      <c r="F1" s="16"/>
      <c r="G1" s="16"/>
      <c r="H1" s="16"/>
      <c r="I1" s="2"/>
      <c r="J1" s="1"/>
      <c r="K1" s="1"/>
      <c r="L1" s="1"/>
      <c r="M1" s="1"/>
      <c r="N1" s="1"/>
      <c r="O1" s="1"/>
      <c r="P1" s="1"/>
      <c r="Q1" s="1"/>
      <c r="R1" s="1"/>
      <c r="S1" s="1"/>
      <c r="T1" s="1"/>
      <c r="U1" s="1"/>
      <c r="V1" s="3"/>
      <c r="W1" s="3"/>
      <c r="X1" s="3"/>
      <c r="Y1" s="3"/>
      <c r="Z1" s="3"/>
      <c r="AA1" s="3"/>
      <c r="AB1" s="3"/>
      <c r="AC1" s="3"/>
    </row>
    <row r="2" spans="1:29" ht="14.25" x14ac:dyDescent="0.2">
      <c r="A2" s="1"/>
      <c r="B2" s="1"/>
      <c r="C2" s="1"/>
      <c r="D2" s="1"/>
      <c r="E2" s="16"/>
      <c r="F2" s="16"/>
      <c r="G2" s="16"/>
      <c r="H2" s="16"/>
      <c r="I2" s="2"/>
      <c r="J2" s="1"/>
      <c r="K2" s="1"/>
      <c r="L2" s="1"/>
      <c r="M2" s="1"/>
      <c r="N2" s="1"/>
      <c r="O2" s="1"/>
      <c r="P2" s="1"/>
      <c r="Q2" s="1"/>
      <c r="R2" s="1"/>
      <c r="S2" s="1"/>
      <c r="T2" s="1"/>
      <c r="U2" s="1"/>
      <c r="V2" s="3"/>
      <c r="W2" s="3"/>
      <c r="X2" s="3"/>
      <c r="Y2" s="3"/>
      <c r="Z2" s="3"/>
      <c r="AA2" s="3"/>
      <c r="AB2" s="3"/>
      <c r="AC2" s="3"/>
    </row>
    <row r="3" spans="1:29" ht="14.25" x14ac:dyDescent="0.2">
      <c r="A3" s="1"/>
      <c r="B3" s="1"/>
      <c r="C3" s="1"/>
      <c r="D3" s="1"/>
      <c r="E3" s="1"/>
      <c r="F3" s="17" t="s">
        <v>1</v>
      </c>
      <c r="G3" s="16"/>
      <c r="H3" s="16"/>
      <c r="I3" s="18" t="s">
        <v>2</v>
      </c>
      <c r="J3" s="16"/>
      <c r="K3" s="16"/>
      <c r="L3" s="18" t="s">
        <v>3</v>
      </c>
      <c r="M3" s="16"/>
      <c r="N3" s="16"/>
      <c r="O3" s="18" t="s">
        <v>4</v>
      </c>
      <c r="P3" s="16"/>
      <c r="Q3" s="16"/>
      <c r="R3" s="18" t="s">
        <v>5</v>
      </c>
      <c r="S3" s="16"/>
      <c r="T3" s="4"/>
      <c r="U3" s="5"/>
      <c r="V3" s="3"/>
      <c r="W3" s="3"/>
      <c r="X3" s="3"/>
      <c r="Y3" s="3"/>
      <c r="Z3" s="3"/>
      <c r="AA3" s="3"/>
      <c r="AB3" s="3"/>
      <c r="AC3" s="3"/>
    </row>
    <row r="4" spans="1:29" ht="63.75" x14ac:dyDescent="0.2">
      <c r="A4" s="6" t="s">
        <v>6</v>
      </c>
      <c r="B4" s="6" t="s">
        <v>7</v>
      </c>
      <c r="C4" s="6" t="s">
        <v>8</v>
      </c>
      <c r="D4" s="6" t="s">
        <v>9</v>
      </c>
      <c r="E4" s="6" t="s">
        <v>10</v>
      </c>
      <c r="F4" s="6" t="s">
        <v>11</v>
      </c>
      <c r="G4" s="7" t="s">
        <v>12</v>
      </c>
      <c r="H4" s="6" t="s">
        <v>13</v>
      </c>
      <c r="I4" s="8" t="s">
        <v>14</v>
      </c>
      <c r="J4" s="9" t="s">
        <v>15</v>
      </c>
      <c r="K4" s="9" t="s">
        <v>16</v>
      </c>
      <c r="L4" s="8" t="s">
        <v>14</v>
      </c>
      <c r="M4" s="9" t="s">
        <v>15</v>
      </c>
      <c r="N4" s="9" t="s">
        <v>16</v>
      </c>
      <c r="O4" s="8" t="s">
        <v>14</v>
      </c>
      <c r="P4" s="9" t="s">
        <v>15</v>
      </c>
      <c r="Q4" s="9" t="s">
        <v>16</v>
      </c>
      <c r="R4" s="8" t="s">
        <v>14</v>
      </c>
      <c r="S4" s="9" t="s">
        <v>15</v>
      </c>
      <c r="T4" s="9" t="s">
        <v>16</v>
      </c>
      <c r="U4" s="9" t="s">
        <v>17</v>
      </c>
      <c r="V4" s="3"/>
      <c r="W4" s="3"/>
      <c r="X4" s="3"/>
      <c r="Y4" s="3"/>
      <c r="Z4" s="3"/>
      <c r="AA4" s="3"/>
      <c r="AB4" s="3"/>
      <c r="AC4" s="3"/>
    </row>
    <row r="5" spans="1:29" ht="37.5" customHeight="1" x14ac:dyDescent="0.2">
      <c r="A5" s="10" t="str">
        <f ca="1">IFERROR(__xludf.DUMMYFUNCTION("QUERY({IMPORTRANGE(Enlaces!B1,""A10:U"");IMPORTRANGE(Enlaces!B2,""A10:U"");IMPORTRANGE(Enlaces!B3,""A10:U"");IMPORTRANGE(Enlaces!B4,""A10:U"");IMPORTRANGE(Enlaces!B5,""A10:U"");IMPORTRANGE(Enlaces!B6,""A10:U"");IMPORTRANGE(Enlaces!B7,""A10:U"");IMPORTRANG"&amp;"E(Enlaces!B8,""A10:U"");IMPORTRANGE(Enlaces!B9,""A10:U"");IMPORTRANGE(Enlaces!B10,""A10:U"");IMPORTRANGE(Enlaces!B11,""A10:U"");IMPORTRANGE(Enlaces!B12,""A10:U"");IMPORTRANGE(Enlaces!B13,""A10:U"");IMPORTRANGE(Enlaces!B14,""A10:U"");IMPORTRANGE(Enlaces!B1"&amp;"5,""A10:U"");IMPORTRANGE(Enlaces!B16,""A10:U"");IMPORTRANGE(Enlaces!B17,""A10:U"");IMPORTRANGE(Enlaces!B18,""A10:U"");IMPORTRANGE(Enlaces!B19,""A10:U"")},""Select * Where Col5&lt;&gt;''"")"),"Control Interno")</f>
        <v>Control Interno</v>
      </c>
      <c r="B5" s="10" t="str">
        <f ca="1">IFERROR(__xludf.DUMMYFUNCTION("""COMPUTED_VALUE"""),"Control Interno")</f>
        <v>Control Interno</v>
      </c>
      <c r="C5" s="10" t="str">
        <f ca="1">IFERROR(__xludf.DUMMYFUNCTION("""COMPUTED_VALUE"""),"Aplicación del Código de Integridad. (incluye análisis de desviaciones, convivencia laboral, temas disciplinarios internos, quejas o denuncias sobres los servidores de la entidad, u otros temas relacionados)")</f>
        <v>Aplicación del Código de Integridad. (incluye análisis de desviaciones, convivencia laboral, temas disciplinarios internos, quejas o denuncias sobres los servidores de la entidad, u otros temas relacionados)</v>
      </c>
      <c r="D5" s="10" t="str">
        <f ca="1">IFERROR(__xludf.DUMMYFUNCTION("""COMPUTED_VALUE"""),"Seguimiento a la aplicación del Código de Integridad vigente de la entidad")</f>
        <v>Seguimiento a la aplicación del Código de Integridad vigente de la entidad</v>
      </c>
      <c r="E5" s="10" t="str">
        <f ca="1">IFERROR(__xludf.DUMMYFUNCTION("""COMPUTED_VALUE"""),"Informe de seguimiento de la aplicación del código de integridad repotado a control interno disciplinario")</f>
        <v>Informe de seguimiento de la aplicación del código de integridad repotado a control interno disciplinario</v>
      </c>
      <c r="F5" s="11">
        <f ca="1">IFERROR(__xludf.DUMMYFUNCTION("""COMPUTED_VALUE"""),44713)</f>
        <v>44713</v>
      </c>
      <c r="G5" s="11">
        <f ca="1">IFERROR(__xludf.DUMMYFUNCTION("""COMPUTED_VALUE"""),44925)</f>
        <v>44925</v>
      </c>
      <c r="H5" s="10" t="str">
        <f ca="1">IFERROR(__xludf.DUMMYFUNCTION("""COMPUTED_VALUE"""),"Dirección administrativa de Talento Humano")</f>
        <v>Dirección administrativa de Talento Humano</v>
      </c>
      <c r="I5" s="12">
        <f ca="1">IFERROR(__xludf.DUMMYFUNCTION("""COMPUTED_VALUE"""),0)</f>
        <v>0</v>
      </c>
      <c r="J5" s="10"/>
      <c r="K5" s="11">
        <f ca="1">IFERROR(__xludf.DUMMYFUNCTION("""COMPUTED_VALUE"""),44650)</f>
        <v>44650</v>
      </c>
      <c r="L5" s="12">
        <f ca="1">IFERROR(__xludf.DUMMYFUNCTION("""COMPUTED_VALUE"""),0)</f>
        <v>0</v>
      </c>
      <c r="M5" s="10"/>
      <c r="N5" s="11">
        <f ca="1">IFERROR(__xludf.DUMMYFUNCTION("""COMPUTED_VALUE"""),44742)</f>
        <v>44742</v>
      </c>
      <c r="O5" s="12">
        <f ca="1">IFERROR(__xludf.DUMMYFUNCTION("""COMPUTED_VALUE"""),0.7)</f>
        <v>0.7</v>
      </c>
      <c r="P5" s="10" t="str">
        <f ca="1">IFERROR(__xludf.DUMMYFUNCTION("""COMPUTED_VALUE"""),"para la vigencia evaluada a corte 30 de septiembre de 2022, El informe elaborado se encuentra en Borrador pendiente de aprobación de la Dirección de Talento Humano para ser enviado a la oficina de Control Interno Disciplinario")</f>
        <v>para la vigencia evaluada a corte 30 de septiembre de 2022, El informe elaborado se encuentra en Borrador pendiente de aprobación de la Dirección de Talento Humano para ser enviado a la oficina de Control Interno Disciplinario</v>
      </c>
      <c r="Q5" s="11">
        <f ca="1">IFERROR(__xludf.DUMMYFUNCTION("""COMPUTED_VALUE"""),44834)</f>
        <v>44834</v>
      </c>
      <c r="R5" s="12">
        <f ca="1">IFERROR(__xludf.DUMMYFUNCTION("""COMPUTED_VALUE"""),0.8)</f>
        <v>0.8</v>
      </c>
      <c r="S5" s="10" t="str">
        <f ca="1">IFERROR(__xludf.DUMMYFUNCTION("""COMPUTED_VALUE"""),"Para la vigencia evaluada a corte 30 de Diciembre de 2022, mediante oficio SAIA No. 60018 21 de octubre de 2022, Dirigido a la DIRECTOR(a) ADMINISTRATIVO(a) DE CONTROL INTERNO DISCIPLINARIO.
 Se envió informe elaborado de de servidores que a la fecha no r"&amp;"ealizaron su Declaración de Bienes y Rentas, desde la Dirección de Talento Humano, se realiza el reporte para que la oficina de Control Interno Disciplinario realice las acciones pertinentes")</f>
        <v>Para la vigencia evaluada a corte 30 de Diciembre de 2022, mediante oficio SAIA No. 60018 21 de octubre de 2022, Dirigido a la DIRECTOR(a) ADMINISTRATIVO(a) DE CONTROL INTERNO DISCIPLINARIO.
 Se envió informe elaborado de de servidores que a la fecha no realizaron su Declaración de Bienes y Rentas, desde la Dirección de Talento Humano, se realiza el reporte para que la oficina de Control Interno Disciplinario realice las acciones pertinentes</v>
      </c>
      <c r="T5" s="11">
        <f ca="1">IFERROR(__xludf.DUMMYFUNCTION("""COMPUTED_VALUE"""),44925)</f>
        <v>44925</v>
      </c>
      <c r="U5" s="10"/>
    </row>
    <row r="6" spans="1:29" ht="37.5" customHeight="1" x14ac:dyDescent="0.2">
      <c r="A6" s="10" t="str">
        <f ca="1">IFERROR(__xludf.DUMMYFUNCTION("""COMPUTED_VALUE"""),"Control Interno")</f>
        <v>Control Interno</v>
      </c>
      <c r="B6" s="10" t="str">
        <f ca="1">IFERROR(__xludf.DUMMYFUNCTION("""COMPUTED_VALUE"""),"Control Interno")</f>
        <v>Control Interno</v>
      </c>
      <c r="C6" s="10" t="str">
        <f ca="1">IFERROR(__xludf.DUMMYFUNCTION("""COMPUTED_VALUE"""),"Mecanismos para el manejo de conflictos de interés.")</f>
        <v>Mecanismos para el manejo de conflictos de interés.</v>
      </c>
      <c r="D6" s="10" t="str">
        <f ca="1">IFERROR(__xludf.DUMMYFUNCTION("""COMPUTED_VALUE"""),"Aplicación de la Estrategia de Conflicto de Interes")</f>
        <v>Aplicación de la Estrategia de Conflicto de Interes</v>
      </c>
      <c r="E6" s="10" t="str">
        <f ca="1">IFERROR(__xludf.DUMMYFUNCTION("""COMPUTED_VALUE"""),"N° de actividades ejecutadas del cronograma / N° de actividades programadas en el cronograma")</f>
        <v>N° de actividades ejecutadas del cronograma / N° de actividades programadas en el cronograma</v>
      </c>
      <c r="F6" s="11">
        <f ca="1">IFERROR(__xludf.DUMMYFUNCTION("""COMPUTED_VALUE"""),44682)</f>
        <v>44682</v>
      </c>
      <c r="G6" s="11">
        <f ca="1">IFERROR(__xludf.DUMMYFUNCTION("""COMPUTED_VALUE"""),44925)</f>
        <v>44925</v>
      </c>
      <c r="H6" s="10" t="str">
        <f ca="1">IFERROR(__xludf.DUMMYFUNCTION("""COMPUTED_VALUE"""),"Dirección administrativa de Talento Humano")</f>
        <v>Dirección administrativa de Talento Humano</v>
      </c>
      <c r="I6" s="12">
        <f ca="1">IFERROR(__xludf.DUMMYFUNCTION("""COMPUTED_VALUE"""),0)</f>
        <v>0</v>
      </c>
      <c r="J6" s="10"/>
      <c r="K6" s="11">
        <f ca="1">IFERROR(__xludf.DUMMYFUNCTION("""COMPUTED_VALUE"""),44650)</f>
        <v>44650</v>
      </c>
      <c r="L6" s="12">
        <f ca="1">IFERROR(__xludf.DUMMYFUNCTION("""COMPUTED_VALUE"""),0)</f>
        <v>0</v>
      </c>
      <c r="M6" s="10"/>
      <c r="N6" s="11">
        <f ca="1">IFERROR(__xludf.DUMMYFUNCTION("""COMPUTED_VALUE"""),44742)</f>
        <v>44742</v>
      </c>
      <c r="O6" s="12">
        <f ca="1">IFERROR(__xludf.DUMMYFUNCTION("""COMPUTED_VALUE"""),0.6)</f>
        <v>0.6</v>
      </c>
      <c r="P6" s="10" t="str">
        <f ca="1">IFERROR(__xludf.DUMMYFUNCTION("""COMPUTED_VALUE"""),"para la vigencia evaluada a corte 30 de septiembre de 2022, de las 15 actividades se ha ejecutado 9, las cuales están en proceso de ejecución dado que algunas de ellas se deben de realizar de forma continua, toda los documentos reposan en la Dirección Adm"&amp;"inistrativa de Talento actividades,")</f>
        <v>para la vigencia evaluada a corte 30 de septiembre de 2022, de las 15 actividades se ha ejecutado 9, las cuales están en proceso de ejecución dado que algunas de ellas se deben de realizar de forma continua, toda los documentos reposan en la Dirección Administrativa de Talento actividades,</v>
      </c>
      <c r="Q6" s="11">
        <f ca="1">IFERROR(__xludf.DUMMYFUNCTION("""COMPUTED_VALUE"""),44834)</f>
        <v>44834</v>
      </c>
      <c r="R6" s="12">
        <f ca="1">IFERROR(__xludf.DUMMYFUNCTION("""COMPUTED_VALUE"""),0.8)</f>
        <v>0.8</v>
      </c>
      <c r="S6" s="10" t="str">
        <f ca="1">IFERROR(__xludf.DUMMYFUNCTION("""COMPUTED_VALUE"""),"para la vigencia evaluada a corte 30 de Diciembre de 2022, de las 15 actividades se ha ejecutado 12, las cuales están en proceso de ejecución dado que algunas de ellas se deben de realizar de forma continua, toda los documentos reposan en la Dirección Adm"&amp;"inistrativa de Talento actividades,")</f>
        <v>para la vigencia evaluada a corte 30 de Diciembre de 2022, de las 15 actividades se ha ejecutado 12, las cuales están en proceso de ejecución dado que algunas de ellas se deben de realizar de forma continua, toda los documentos reposan en la Dirección Administrativa de Talento actividades,</v>
      </c>
      <c r="T6" s="11">
        <f ca="1">IFERROR(__xludf.DUMMYFUNCTION("""COMPUTED_VALUE"""),44925)</f>
        <v>44925</v>
      </c>
      <c r="U6" s="10"/>
    </row>
    <row r="7" spans="1:29" ht="37.5" customHeight="1" x14ac:dyDescent="0.2">
      <c r="A7" s="10" t="str">
        <f ca="1">IFERROR(__xludf.DUMMYFUNCTION("""COMPUTED_VALUE"""),"Control Interno")</f>
        <v>Control Interno</v>
      </c>
      <c r="B7" s="10" t="str">
        <f ca="1">IFERROR(__xludf.DUMMYFUNCTION("""COMPUTED_VALUE"""),"Control Interno")</f>
        <v>Control Interno</v>
      </c>
      <c r="C7" s="10" t="str">
        <f ca="1">IFERROR(__xludf.DUMMYFUNCTION("""COMPUTED_VALUE"""),"La evaluación de las acciones transversales de integridad, mediante el monitoreo permanente de los riesgos de corrupción.")</f>
        <v>La evaluación de las acciones transversales de integridad, mediante el monitoreo permanente de los riesgos de corrupción.</v>
      </c>
      <c r="D7" s="10" t="str">
        <f ca="1">IFERROR(__xludf.DUMMYFUNCTION("""COMPUTED_VALUE"""),"Mapa de riesgos consolidado,
 publicado en lapágina
 web de la institución y seguimientos cuatrimestrales")</f>
        <v>Mapa de riesgos consolidado,
 publicado en lapágina
 web de la institución y seguimientos cuatrimestrales</v>
      </c>
      <c r="E7" s="10" t="str">
        <f ca="1">IFERROR(__xludf.DUMMYFUNCTION("""COMPUTED_VALUE"""),"Seguimiento mapa de riesgos de corrupción")</f>
        <v>Seguimiento mapa de riesgos de corrupción</v>
      </c>
      <c r="F7" s="11">
        <f ca="1">IFERROR(__xludf.DUMMYFUNCTION("""COMPUTED_VALUE"""),44562)</f>
        <v>44562</v>
      </c>
      <c r="G7" s="11">
        <f ca="1">IFERROR(__xludf.DUMMYFUNCTION("""COMPUTED_VALUE"""),44925)</f>
        <v>44925</v>
      </c>
      <c r="H7" s="10" t="str">
        <f ca="1">IFERROR(__xludf.DUMMYFUNCTION("""COMPUTED_VALUE"""),"Dirección administrativa de Talento Humano")</f>
        <v>Dirección administrativa de Talento Humano</v>
      </c>
      <c r="I7" s="12">
        <f ca="1">IFERROR(__xludf.DUMMYFUNCTION("""COMPUTED_VALUE"""),0.33)</f>
        <v>0.33</v>
      </c>
      <c r="J7" s="10"/>
      <c r="K7" s="11">
        <f ca="1">IFERROR(__xludf.DUMMYFUNCTION("""COMPUTED_VALUE"""),44650)</f>
        <v>44650</v>
      </c>
      <c r="L7" s="12">
        <f ca="1">IFERROR(__xludf.DUMMYFUNCTION("""COMPUTED_VALUE"""),0.33)</f>
        <v>0.33</v>
      </c>
      <c r="M7" s="10"/>
      <c r="N7" s="11">
        <f ca="1">IFERROR(__xludf.DUMMYFUNCTION("""COMPUTED_VALUE"""),44742)</f>
        <v>44742</v>
      </c>
      <c r="O7" s="12">
        <f ca="1">IFERROR(__xludf.DUMMYFUNCTION("""COMPUTED_VALUE"""),0.7)</f>
        <v>0.7</v>
      </c>
      <c r="P7" s="10" t="str">
        <f ca="1">IFERROR(__xludf.DUMMYFUNCTION("""COMPUTED_VALUE"""),"Se Respondió a: Elaboración Plan Acción Política Control Interno. Radicado No.21792 del 29 de Abril del 2022 con Radicado No.20284 
 Se Respondió a: Solicitud diligenciamiento y envío Mapa de Riesgos de Corrupción con evidencias soportadas a corte 31 de a"&amp;"gosto de 2022. Radicado No.45919  Con Radicado No. 49109")</f>
        <v>Se Respondió a: Elaboración Plan Acción Política Control Interno. Radicado No.21792 del 29 de Abril del 2022 con Radicado No.20284 
 Se Respondió a: Solicitud diligenciamiento y envío Mapa de Riesgos de Corrupción con evidencias soportadas a corte 31 de agosto de 2022. Radicado No.45919  Con Radicado No. 49109</v>
      </c>
      <c r="Q7" s="11">
        <f ca="1">IFERROR(__xludf.DUMMYFUNCTION("""COMPUTED_VALUE"""),44834)</f>
        <v>44834</v>
      </c>
      <c r="R7" s="12">
        <f ca="1">IFERROR(__xludf.DUMMYFUNCTION("""COMPUTED_VALUE"""),0.8)</f>
        <v>0.8</v>
      </c>
      <c r="S7" s="10" t="str">
        <f ca="1">IFERROR(__xludf.DUMMYFUNCTION("""COMPUTED_VALUE"""),"para la vigencia evaluada a corte 30 de Diciembre de 2022, Se Respondió a: Elaboración Plan Acción Política Control Interno. Radicado con Radicado No.20841 
 Se Respondió a: Solicitud diligenciamiento y envío Mapa de Riesgos de Corrupción con evidencias s"&amp;"oportadas a corte 30 de diciembre de 2022, a su vez se envio la actualizacion de Mapa de Riesgos para la vigencia 2023, las evidencias reposan en las tecnico administrativo encargadas de los procesos")</f>
        <v>para la vigencia evaluada a corte 30 de Diciembre de 2022, Se Respondió a: Elaboración Plan Acción Política Control Interno. Radicado con Radicado No.20841 
 Se Respondió a: Solicitud diligenciamiento y envío Mapa de Riesgos de Corrupción con evidencias soportadas a corte 30 de diciembre de 2022, a su vez se envio la actualizacion de Mapa de Riesgos para la vigencia 2023, las evidencias reposan en las tecnico administrativo encargadas de los procesos</v>
      </c>
      <c r="T7" s="11">
        <f ca="1">IFERROR(__xludf.DUMMYFUNCTION("""COMPUTED_VALUE"""),44925)</f>
        <v>44925</v>
      </c>
      <c r="U7" s="10"/>
    </row>
    <row r="8" spans="1:29" ht="37.5" customHeight="1" x14ac:dyDescent="0.2">
      <c r="A8" s="10" t="str">
        <f ca="1">IFERROR(__xludf.DUMMYFUNCTION("""COMPUTED_VALUE"""),"Control Interno")</f>
        <v>Control Interno</v>
      </c>
      <c r="B8" s="10" t="str">
        <f ca="1">IFERROR(__xludf.DUMMYFUNCTION("""COMPUTED_VALUE"""),"Control Interno")</f>
        <v>Control Interno</v>
      </c>
      <c r="C8" s="10" t="str">
        <f ca="1">IFERROR(__xludf.DUMMYFUNCTION("""COMPUTED_VALUE"""),"Análisis sobre viabilidad para el establecimiento de una línea de denuncia interna sobre situaciones irregulares o posibles incumplimientos al código de integridad.
 NOTA: Si la entidad ya cuenta con esta línea en funcionamiento, establecezca si ha aporta"&amp;"do para la mejora de los mapas de riesgos o bien en otros ámbitos organizacionales.")</f>
        <v>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v>
      </c>
      <c r="D8" s="10" t="str">
        <f ca="1">IFERROR(__xludf.DUMMYFUNCTION("""COMPUTED_VALUE"""),"Elaboración y difución del procedimiento para las de denuncias internas")</f>
        <v>Elaboración y difución del procedimiento para las de denuncias internas</v>
      </c>
      <c r="E8" s="10" t="str">
        <f ca="1">IFERROR(__xludf.DUMMYFUNCTION("""COMPUTED_VALUE"""),"procedimiento elaborado y socializado.")</f>
        <v>procedimiento elaborado y socializado.</v>
      </c>
      <c r="F8" s="11">
        <f ca="1">IFERROR(__xludf.DUMMYFUNCTION("""COMPUTED_VALUE"""),44713)</f>
        <v>44713</v>
      </c>
      <c r="G8" s="11">
        <f ca="1">IFERROR(__xludf.DUMMYFUNCTION("""COMPUTED_VALUE"""),44925)</f>
        <v>44925</v>
      </c>
      <c r="H8" s="10" t="str">
        <f ca="1">IFERROR(__xludf.DUMMYFUNCTION("""COMPUTED_VALUE"""),"Dirección administrativa de Talento Humano")</f>
        <v>Dirección administrativa de Talento Humano</v>
      </c>
      <c r="I8" s="12">
        <f ca="1">IFERROR(__xludf.DUMMYFUNCTION("""COMPUTED_VALUE"""),0)</f>
        <v>0</v>
      </c>
      <c r="J8" s="10"/>
      <c r="K8" s="11">
        <f ca="1">IFERROR(__xludf.DUMMYFUNCTION("""COMPUTED_VALUE"""),44650)</f>
        <v>44650</v>
      </c>
      <c r="L8" s="12">
        <f ca="1">IFERROR(__xludf.DUMMYFUNCTION("""COMPUTED_VALUE"""),0)</f>
        <v>0</v>
      </c>
      <c r="M8" s="10"/>
      <c r="N8" s="11">
        <f ca="1">IFERROR(__xludf.DUMMYFUNCTION("""COMPUTED_VALUE"""),44742)</f>
        <v>44742</v>
      </c>
      <c r="O8" s="12">
        <f ca="1">IFERROR(__xludf.DUMMYFUNCTION("""COMPUTED_VALUE"""),0.6)</f>
        <v>0.6</v>
      </c>
      <c r="P8" s="10" t="str">
        <f ca="1">IFERROR(__xludf.DUMMYFUNCTION("""COMPUTED_VALUE"""),"Por medio de la mesas de trabajo estrategia de conflicto de interés, invitación con Radicado No. 50401, realizada el 14 de septiembre de 2022, se aprobó la guía para la identificación, publicación y divulgación de la declaración de conflictos de interés, "&amp;"en ella se incluye el procedimiento de denuncias, esta Guía se encuentra pendiente para su aprobación en el Comité institucional de Gestión y desempeño que se realizara en el mes de octubre de la vigencia 2022, y posteriormente será socialización a todos "&amp;"los funcionarios y contratistas de la Alcaldía de Pereira")</f>
        <v>Por medio de la mesas de trabajo estrategia de conflicto de interés, invitación con Radicado No. 50401, realizada el 14 de septiembre de 2022, se aprobó la guía para la identificación, publicación y divulgación de la declaración de conflictos de interés, en ella se incluye el procedimiento de denuncias, esta Guía se encuentra pendiente para su aprobación en el Comité institucional de Gestión y desempeño que se realizara en el mes de octubre de la vigencia 2022, y posteriormente será socialización a todos los funcionarios y contratistas de la Alcaldía de Pereira</v>
      </c>
      <c r="Q8" s="11">
        <f ca="1">IFERROR(__xludf.DUMMYFUNCTION("""COMPUTED_VALUE"""),44834)</f>
        <v>44834</v>
      </c>
      <c r="R8" s="12">
        <f ca="1">IFERROR(__xludf.DUMMYFUNCTION("""COMPUTED_VALUE"""),0.8)</f>
        <v>0.8</v>
      </c>
      <c r="S8" s="10" t="str">
        <f ca="1">IFERROR(__xludf.DUMMYFUNCTION("""COMPUTED_VALUE"""),"Para la vigencia evaluada a corte 30 de Diciembre de 2022, Mediante CIRCULAR No. 367 la Dirección de Talento Humano en 04 de noviembre de 2022, realizo SOCIALIZACIÓN GUÍA PARA LA IDENTIFICACIÓN, PUBLICACIÓN Y DIVULGACIÓN DE LA DECLARACIÓN DE CONFLICTO DE "&amp;"INTERESES EN LA ALCALDÍA DE PEREIRA 
 Así como el canal de Atención para la recepción de los impedimentos, recusaciones y denuncias
 impedimentosyrecusaciones@pereira.gov.co
 Socialización del instructivo y los formatos para la Declaración de impedimen"&amp;"tos tanto para funcionarios como para contratistas.
 Dicha guía también la pueden consultar en la página web de la Alcaldía de Pereira en el
 Siguiente link 
 https://www.pereira.gov.co/documentos/880/2022/.")</f>
        <v>Para la vigencia evaluada a corte 30 de Diciembre de 2022, Mediante CIRCULAR No. 367 la Dirección de Talento Humano en 04 de noviembre de 2022, realizo SOCIALIZACIÓN GUÍA PARA LA IDENTIFICACIÓN, PUBLICACIÓN Y DIVULGACIÓN DE LA DECLARACIÓN DE CONFLICTO DE INTERESES EN LA ALCALDÍA DE PEREIRA 
 Así como el canal de Atención para la recepción de los impedimentos, recusaciones y denuncias
 impedimentosyrecusaciones@pereira.gov.co
 Socialización del instructivo y los formatos para la Declaración de impedimentos tanto para funcionarios como para contratistas.
 Dicha guía también la pueden consultar en la página web de la Alcaldía de Pereira en el
 Siguiente link 
 https://www.pereira.gov.co/documentos/880/2022/.</v>
      </c>
      <c r="T8" s="11">
        <f ca="1">IFERROR(__xludf.DUMMYFUNCTION("""COMPUTED_VALUE"""),44925)</f>
        <v>44925</v>
      </c>
      <c r="U8" s="10"/>
    </row>
    <row r="9" spans="1:29" ht="37.5" customHeight="1" x14ac:dyDescent="0.2">
      <c r="A9" s="10" t="str">
        <f ca="1">IFERROR(__xludf.DUMMYFUNCTION("""COMPUTED_VALUE"""),"Control Interno")</f>
        <v>Control Interno</v>
      </c>
      <c r="B9" s="10" t="str">
        <f ca="1">IFERROR(__xludf.DUMMYFUNCTION("""COMPUTED_VALUE"""),"Control Interno")</f>
        <v>Control Interno</v>
      </c>
      <c r="C9" s="10" t="str">
        <f ca="1">IFERROR(__xludf.DUMMYFUNCTION("""COMPUTED_VALUE"""),"Teniendo en cuenta la información suministrada por la 2a y 3a línea de defensa se toman decisiones a tiempo para garantizar el cumplimiento de las metas y objetivos")</f>
        <v>Teniendo en cuenta la información suministrada por la 2a y 3a línea de defensa se toman decisiones a tiempo para garantizar el cumplimiento de las metas y objetivos</v>
      </c>
      <c r="D9" s="10" t="str">
        <f ca="1">IFERROR(__xludf.DUMMYFUNCTION("""COMPUTED_VALUE"""),"Informes de auditorías y de seguimientos realizados")</f>
        <v>Informes de auditorías y de seguimientos realizados</v>
      </c>
      <c r="E9" s="10" t="str">
        <f ca="1">IFERROR(__xludf.DUMMYFUNCTION("""COMPUTED_VALUE"""),"(Número de auditoías y seguimientos realizadas/Número de auditorías programadas y seguimientos en el PGA 2022 *100 META: 14 AUDITORIAS Y 132 SEGUIMIENTOS")</f>
        <v>(Número de auditoías y seguimientos realizadas/Número de auditorías programadas y seguimientos en el PGA 2022 *100 META: 14 AUDITORIAS Y 132 SEGUIMIENTOS</v>
      </c>
      <c r="F9" s="11">
        <f ca="1">IFERROR(__xludf.DUMMYFUNCTION("""COMPUTED_VALUE"""),44582)</f>
        <v>44582</v>
      </c>
      <c r="G9" s="13">
        <f ca="1">IFERROR(__xludf.DUMMYFUNCTION("""COMPUTED_VALUE"""),44926)</f>
        <v>44926</v>
      </c>
      <c r="H9" s="10" t="str">
        <f ca="1">IFERROR(__xludf.DUMMYFUNCTION("""COMPUTED_VALUE"""),"Asesor de Control Interno")</f>
        <v>Asesor de Control Interno</v>
      </c>
      <c r="I9" s="12"/>
      <c r="J9" s="10" t="str">
        <f ca="1">IFERROR(__xludf.DUMMYFUNCTION("""COMPUTED_VALUE"""),"Durante el primer trimestre se realizaron un total de 31 seguimientos de los 132 programados para este año. Las auditorías se realizaran a partir del mes de abril de 2022
  l")</f>
        <v>Durante el primer trimestre se realizaron un total de 31 seguimientos de los 132 programados para este año. Las auditorías se realizaran a partir del mes de abril de 2022
  l</v>
      </c>
      <c r="K9" s="11">
        <f ca="1">IFERROR(__xludf.DUMMYFUNCTION("""COMPUTED_VALUE"""),44650)</f>
        <v>44650</v>
      </c>
      <c r="L9" s="12"/>
      <c r="M9" s="10" t="str">
        <f ca="1">IFERROR(__xludf.DUMMYFUNCTION("""COMPUTED_VALUE"""),"Durante el segundo trimestre se realizaron un total de 65 seguimientos de los 136 programados para este año. Las auditorías se han ejecutado en un 57%  a junio 30 de 2022
 ")</f>
        <v xml:space="preserve">Durante el segundo trimestre se realizaron un total de 65 seguimientos de los 136 programados para este año. Las auditorías se han ejecutado en un 57%  a junio 30 de 2022
 </v>
      </c>
      <c r="N9" s="11">
        <f ca="1">IFERROR(__xludf.DUMMYFUNCTION("""COMPUTED_VALUE"""),44742)</f>
        <v>44742</v>
      </c>
      <c r="O9" s="12">
        <f ca="1">IFERROR(__xludf.DUMMYFUNCTION("""COMPUTED_VALUE"""),0.74)</f>
        <v>0.74</v>
      </c>
      <c r="P9" s="10" t="str">
        <f ca="1">IFERROR(__xludf.DUMMYFUNCTION("""COMPUTED_VALUE"""),"se han realizado 81 informes de 136 con un porcentaje de avance del 60%  y 23 informes de ley de 26 para un 88.5 de avance y Existen 10 auditorias en fase de informe final Link:Drive / OFICINA ASESORA DE CONTROL 2022/informes/informes tecnicos  / link: OF"&amp;"ICINA ASESORA DE CONTROL 2022/Informes / auditoriasLINK:OFICINA ASESORA DE CONTROL 2022/Informes / auditorias ")</f>
        <v xml:space="preserve">se han realizado 81 informes de 136 con un porcentaje de avance del 60%  y 23 informes de ley de 26 para un 88.5 de avance y Existen 10 auditorias en fase de informe final Link:Drive / OFICINA ASESORA DE CONTROL 2022/informes/informes tecnicos  / link: OFICINA ASESORA DE CONTROL 2022/Informes / auditoriasLINK:OFICINA ASESORA DE CONTROL 2022/Informes / auditorias </v>
      </c>
      <c r="Q9" s="11">
        <f ca="1">IFERROR(__xludf.DUMMYFUNCTION("""COMPUTED_VALUE"""),44834)</f>
        <v>44834</v>
      </c>
      <c r="R9" s="12">
        <f ca="1">IFERROR(__xludf.DUMMYFUNCTION("""COMPUTED_VALUE"""),1)</f>
        <v>1</v>
      </c>
      <c r="S9" s="10" t="str">
        <f ca="1">IFERROR(__xludf.DUMMYFUNCTION("""COMPUTED_VALUE"""),"se han realizado 136 informes de 136 con un porcentaje de avance del 100%  y 26 informes de ley de 26 para un 100% de avance y Existen 10 auditorias en fase de informe final Link:Drive / OFICINA ASESORA DE CONTROL 2022/informes/informes tecnicos  / link: "&amp;"OFICINA ASESORA DE CONTROL 2022/Informes / auditoriasLINK:OFICINA ASESORA DE CONTROL 2022/Informes / auditorias ")</f>
        <v xml:space="preserve">se han realizado 136 informes de 136 con un porcentaje de avance del 100%  y 26 informes de ley de 26 para un 100% de avance y Existen 10 auditorias en fase de informe final Link:Drive / OFICINA ASESORA DE CONTROL 2022/informes/informes tecnicos  / link: OFICINA ASESORA DE CONTROL 2022/Informes / auditoriasLINK:OFICINA ASESORA DE CONTROL 2022/Informes / auditorias </v>
      </c>
      <c r="T9" s="11">
        <f ca="1">IFERROR(__xludf.DUMMYFUNCTION("""COMPUTED_VALUE"""),44925)</f>
        <v>44925</v>
      </c>
      <c r="U9" s="10"/>
    </row>
    <row r="10" spans="1:29" ht="37.5" customHeight="1" x14ac:dyDescent="0.2">
      <c r="A10" s="10" t="str">
        <f ca="1">IFERROR(__xludf.DUMMYFUNCTION("""COMPUTED_VALUE"""),"Control Interno")</f>
        <v>Control Interno</v>
      </c>
      <c r="B10" s="10" t="str">
        <f ca="1">IFERROR(__xludf.DUMMYFUNCTION("""COMPUTED_VALUE"""),"Control Interno")</f>
        <v>Control Interno</v>
      </c>
      <c r="C10" s="10" t="str">
        <f ca="1">IFERROR(__xludf.DUMMYFUNCTION("""COMPUTED_VALUE"""),"Se evalúa la estructura de control a partir de los cambios en procesos, procedimientos, u otras herramientas, a fin de garantizar su adecuada formulación y afectación frente a la gestión del riesgo")</f>
        <v>Se evalúa la estructura de control a partir de los cambios en procesos, procedimientos, u otras herramientas, a fin de garantizar su adecuada formulación y afectación frente a la gestión del riesgo</v>
      </c>
      <c r="D10" s="10" t="str">
        <f ca="1">IFERROR(__xludf.DUMMYFUNCTION("""COMPUTED_VALUE"""),"Seguimientos realizados al mapa de riesgos de cada subproceso")</f>
        <v>Seguimientos realizados al mapa de riesgos de cada subproceso</v>
      </c>
      <c r="E10" s="10" t="str">
        <f ca="1">IFERROR(__xludf.DUMMYFUNCTION("""COMPUTED_VALUE"""),"(Número de seguimientos a mapa de riesgos realizados / Número seguimientos programados a mapa de riesgos)*100 META: 2 SEGUIMIENTOS REALIZADOS")</f>
        <v>(Número de seguimientos a mapa de riesgos realizados / Número seguimientos programados a mapa de riesgos)*100 META: 2 SEGUIMIENTOS REALIZADOS</v>
      </c>
      <c r="F10" s="11">
        <f ca="1">IFERROR(__xludf.DUMMYFUNCTION("""COMPUTED_VALUE"""),44768)</f>
        <v>44768</v>
      </c>
      <c r="G10" s="13">
        <f ca="1">IFERROR(__xludf.DUMMYFUNCTION("""COMPUTED_VALUE"""),44915)</f>
        <v>44915</v>
      </c>
      <c r="H10" s="10" t="str">
        <f ca="1">IFERROR(__xludf.DUMMYFUNCTION("""COMPUTED_VALUE"""),"Asesor de Control Interno")</f>
        <v>Asesor de Control Interno</v>
      </c>
      <c r="I10" s="12">
        <f ca="1">IFERROR(__xludf.DUMMYFUNCTION("""COMPUTED_VALUE"""),0)</f>
        <v>0</v>
      </c>
      <c r="J10" s="10" t="str">
        <f ca="1">IFERROR(__xludf.DUMMYFUNCTION("""COMPUTED_VALUE"""),"Esta actividad está progamada para el segundo semestre
  link: drive2022/informes/informes tecnicos seguimiento mapa de riesgos")</f>
        <v>Esta actividad está progamada para el segundo semestre
  link: drive2022/informes/informes tecnicos seguimiento mapa de riesgos</v>
      </c>
      <c r="K10" s="11">
        <f ca="1">IFERROR(__xludf.DUMMYFUNCTION("""COMPUTED_VALUE"""),44650)</f>
        <v>44650</v>
      </c>
      <c r="L10" s="12">
        <f ca="1">IFERROR(__xludf.DUMMYFUNCTION("""COMPUTED_VALUE"""),0)</f>
        <v>0</v>
      </c>
      <c r="M10" s="10" t="str">
        <f ca="1">IFERROR(__xludf.DUMMYFUNCTION("""COMPUTED_VALUE"""),"Esta actividad está progamada para el segundo semestre
  link: drive2022/informes/informes tecnicos seguimiento mapa de riesgos")</f>
        <v>Esta actividad está progamada para el segundo semestre
  link: drive2022/informes/informes tecnicos seguimiento mapa de riesgos</v>
      </c>
      <c r="N10" s="11">
        <f ca="1">IFERROR(__xludf.DUMMYFUNCTION("""COMPUTED_VALUE"""),44742)</f>
        <v>44742</v>
      </c>
      <c r="O10" s="12">
        <f ca="1">IFERROR(__xludf.DUMMYFUNCTION("""COMPUTED_VALUE"""),0.5)</f>
        <v>0.5</v>
      </c>
      <c r="P10" s="10" t="str">
        <f ca="1">IFERROR(__xludf.DUMMYFUNCTION("""COMPUTED_VALUE"""),"Se realizo un seguimiento de los dos programados   link: drive2022/informes/informes tecnicos seguimiento mapa de riesgos  ")</f>
        <v xml:space="preserve">Se realizo un seguimiento de los dos programados   link: drive2022/informes/informes tecnicos seguimiento mapa de riesgos  </v>
      </c>
      <c r="Q10" s="11">
        <f ca="1">IFERROR(__xludf.DUMMYFUNCTION("""COMPUTED_VALUE"""),44834)</f>
        <v>44834</v>
      </c>
      <c r="R10" s="12">
        <f ca="1">IFERROR(__xludf.DUMMYFUNCTION("""COMPUTED_VALUE"""),1)</f>
        <v>1</v>
      </c>
      <c r="S10" s="10" t="str">
        <f ca="1">IFERROR(__xludf.DUMMYFUNCTION("""COMPUTED_VALUE"""),"Se realizaron  dos seguimientos de los dos programados   link: drive2022/informes/informes tecnicos seguimiento mapa de riesgos  ")</f>
        <v xml:space="preserve">Se realizaron  dos seguimientos de los dos programados   link: drive2022/informes/informes tecnicos seguimiento mapa de riesgos  </v>
      </c>
      <c r="T10" s="11">
        <f ca="1">IFERROR(__xludf.DUMMYFUNCTION("""COMPUTED_VALUE"""),44925)</f>
        <v>44925</v>
      </c>
      <c r="U10" s="10"/>
    </row>
    <row r="11" spans="1:29" ht="37.5" customHeight="1" x14ac:dyDescent="0.2">
      <c r="A11" s="10" t="str">
        <f ca="1">IFERROR(__xludf.DUMMYFUNCTION("""COMPUTED_VALUE"""),"Control Interno")</f>
        <v>Control Interno</v>
      </c>
      <c r="B11" s="10" t="str">
        <f ca="1">IFERROR(__xludf.DUMMYFUNCTION("""COMPUTED_VALUE"""),"Control Interno")</f>
        <v>Control Interno</v>
      </c>
      <c r="C11" s="10" t="str">
        <f ca="1">IFERROR(__xludf.DUMMYFUNCTION("""COMPUTED_VALUE"""),"La política de Administración del Riesgo para la Alcaldía de Pereira fue actualizada para la presente vigencia y posteriormente aprobada por la Oficina de Control Interno. Es importante resaltar que se requiere la aprobación del Comité Coordinador de Cont"&amp;"rol Interno, para que sea válida y se pueda proceder con su socialización y publicación en la página web de la Alcaldía de Pereira, a fin de utilizar dicha herramienta junto con la guía de administración del riesgo establecida por el DAFP, al momento de p"&amp;"roceder con la actualización de los mapas de riesgos.")</f>
        <v>La política de Administración del Riesgo para la Alcaldía de Pereira fue actualizada para la presente vigencia y posteriormente aprobada por la Oficina de Control Interno. Es importante resaltar que se requiere la aprobación del Comité Coordinador de Control Interno, para que sea válida y se pueda proceder con su socialización y publicación en la página web de la Alcaldía de Pereira, a fin de utilizar dicha herramienta junto con la guía de administración del riesgo establecida por el DAFP, al momento de proceder con la actualización de los mapas de riesgos.</v>
      </c>
      <c r="D11" s="10" t="str">
        <f ca="1">IFERROR(__xludf.DUMMYFUNCTION("""COMPUTED_VALUE"""),"seguimientos mapa de riesgos")</f>
        <v>seguimientos mapa de riesgos</v>
      </c>
      <c r="E11" s="10" t="str">
        <f ca="1">IFERROR(__xludf.DUMMYFUNCTION("""COMPUTED_VALUE"""),"(Número de seguimientos a mapa de riesgos realizados / Número seguimientos programados a mapa de riesgos)*100 META: 2 SEGUIMIENTOS REALIZADOS")</f>
        <v>(Número de seguimientos a mapa de riesgos realizados / Número seguimientos programados a mapa de riesgos)*100 META: 2 SEGUIMIENTOS REALIZADOS</v>
      </c>
      <c r="F11" s="11">
        <f ca="1">IFERROR(__xludf.DUMMYFUNCTION("""COMPUTED_VALUE"""),44768)</f>
        <v>44768</v>
      </c>
      <c r="G11" s="11">
        <f ca="1">IFERROR(__xludf.DUMMYFUNCTION("""COMPUTED_VALUE"""),44915)</f>
        <v>44915</v>
      </c>
      <c r="H11" s="10" t="str">
        <f ca="1">IFERROR(__xludf.DUMMYFUNCTION("""COMPUTED_VALUE"""),"Asesor de Control Interno")</f>
        <v>Asesor de Control Interno</v>
      </c>
      <c r="I11" s="12">
        <f ca="1">IFERROR(__xludf.DUMMYFUNCTION("""COMPUTED_VALUE"""),0)</f>
        <v>0</v>
      </c>
      <c r="J11" s="10" t="str">
        <f ca="1">IFERROR(__xludf.DUMMYFUNCTION("""COMPUTED_VALUE"""),"Esta actividad está progamada para el segundo semestre
  link: drive2022/informes/informes tecnicos seguimiento mapa de riesgos")</f>
        <v>Esta actividad está progamada para el segundo semestre
  link: drive2022/informes/informes tecnicos seguimiento mapa de riesgos</v>
      </c>
      <c r="K11" s="11">
        <f ca="1">IFERROR(__xludf.DUMMYFUNCTION("""COMPUTED_VALUE"""),44650)</f>
        <v>44650</v>
      </c>
      <c r="L11" s="12">
        <f ca="1">IFERROR(__xludf.DUMMYFUNCTION("""COMPUTED_VALUE"""),0)</f>
        <v>0</v>
      </c>
      <c r="M11" s="10" t="str">
        <f ca="1">IFERROR(__xludf.DUMMYFUNCTION("""COMPUTED_VALUE"""),"Esta actividad está progamada para el segundo semestre
  link: drive2022/informes/informes tecnicos seguimiento mapa de riesgos")</f>
        <v>Esta actividad está progamada para el segundo semestre
  link: drive2022/informes/informes tecnicos seguimiento mapa de riesgos</v>
      </c>
      <c r="N11" s="11">
        <f ca="1">IFERROR(__xludf.DUMMYFUNCTION("""COMPUTED_VALUE"""),44742)</f>
        <v>44742</v>
      </c>
      <c r="O11" s="12">
        <f ca="1">IFERROR(__xludf.DUMMYFUNCTION("""COMPUTED_VALUE"""),0.5)</f>
        <v>0.5</v>
      </c>
      <c r="P11" s="10" t="str">
        <f ca="1">IFERROR(__xludf.DUMMYFUNCTION("""COMPUTED_VALUE"""),"Se realizo un seguimiento de los dos programados   link: drive2022/informes/informes tecnicos seguimiento mapa de riesgos  ")</f>
        <v xml:space="preserve">Se realizo un seguimiento de los dos programados   link: drive2022/informes/informes tecnicos seguimiento mapa de riesgos  </v>
      </c>
      <c r="Q11" s="11">
        <f ca="1">IFERROR(__xludf.DUMMYFUNCTION("""COMPUTED_VALUE"""),44834)</f>
        <v>44834</v>
      </c>
      <c r="R11" s="12">
        <f ca="1">IFERROR(__xludf.DUMMYFUNCTION("""COMPUTED_VALUE"""),1)</f>
        <v>1</v>
      </c>
      <c r="S11" s="10" t="str">
        <f ca="1">IFERROR(__xludf.DUMMYFUNCTION("""COMPUTED_VALUE"""),"Se realizaron  dos seguimientos de los dos programados   link: drive2022/informes/informes tecnicos seguimiento mapa de riesgos  ")</f>
        <v xml:space="preserve">Se realizaron  dos seguimientos de los dos programados   link: drive2022/informes/informes tecnicos seguimiento mapa de riesgos  </v>
      </c>
      <c r="T11" s="11">
        <f ca="1">IFERROR(__xludf.DUMMYFUNCTION("""COMPUTED_VALUE"""),44926)</f>
        <v>44926</v>
      </c>
      <c r="U11" s="10"/>
    </row>
    <row r="12" spans="1:29" ht="37.5" customHeight="1" x14ac:dyDescent="0.2">
      <c r="A12" s="10" t="str">
        <f ca="1">IFERROR(__xludf.DUMMYFUNCTION("""COMPUTED_VALUE"""),"Control Interno")</f>
        <v>Control Interno</v>
      </c>
      <c r="B12" s="10" t="str">
        <f ca="1">IFERROR(__xludf.DUMMYFUNCTION("""COMPUTED_VALUE"""),"Control Interno")</f>
        <v>Control Interno</v>
      </c>
      <c r="C12" s="10" t="str">
        <f ca="1">IFERROR(__xludf.DUMMYFUNCTION("""COMPUTED_VALUE"""),"Mapa de Riesgos de la Secretaria de Tecnologias de la informacion y comunicación. Sin embargo se encuentra en diseño y construccion el Mapa de Riesgos de seguridad en la informacion.")</f>
        <v>Mapa de Riesgos de la Secretaria de Tecnologias de la informacion y comunicación. Sin embargo se encuentra en diseño y construccion el Mapa de Riesgos de seguridad en la informacion.</v>
      </c>
      <c r="D12" s="10" t="str">
        <f ca="1">IFERROR(__xludf.DUMMYFUNCTION("""COMPUTED_VALUE"""),"Mapa de riesgos de seguridad digital, actualizado de acuerdo a la Guía para la administración del riesgo y el diseño de controles en entidades públicas Versión 5 del DAFP")</f>
        <v>Mapa de riesgos de seguridad digital, actualizado de acuerdo a la Guía para la administración del riesgo y el diseño de controles en entidades públicas Versión 5 del DAFP</v>
      </c>
      <c r="E12" s="10" t="str">
        <f ca="1">IFERROR(__xludf.DUMMYFUNCTION("""COMPUTED_VALUE"""),"Documento actualizado Mapa de riesgos de seguridad digital")</f>
        <v>Documento actualizado Mapa de riesgos de seguridad digital</v>
      </c>
      <c r="F12" s="11">
        <f ca="1">IFERROR(__xludf.DUMMYFUNCTION("""COMPUTED_VALUE"""),44562)</f>
        <v>44562</v>
      </c>
      <c r="G12" s="11">
        <f ca="1">IFERROR(__xludf.DUMMYFUNCTION("""COMPUTED_VALUE"""),44925)</f>
        <v>44925</v>
      </c>
      <c r="H12" s="10" t="str">
        <f ca="1">IFERROR(__xludf.DUMMYFUNCTION("""COMPUTED_VALUE"""),"Secretaría de Tecnologías de la Información y la Comunicación")</f>
        <v>Secretaría de Tecnologías de la Información y la Comunicación</v>
      </c>
      <c r="I12" s="12">
        <f ca="1">IFERROR(__xludf.DUMMYFUNCTION("""COMPUTED_VALUE"""),1)</f>
        <v>1</v>
      </c>
      <c r="J12" s="10" t="str">
        <f ca="1">IFERROR(__xludf.DUMMYFUNCTION("""COMPUTED_VALUE"""),"Documento disponible en: SAIA / Módulo SIG / Promoción del Desarrollo Económico / Tecnología de la Información y la Comunicación / Otros documentos de calidad / 
  PDE_Mapa_de_Riesgos_Seguridad_Digital_V4.xlsx")</f>
        <v>Documento disponible en: SAIA / Módulo SIG / Promoción del Desarrollo Económico / Tecnología de la Información y la Comunicación / Otros documentos de calidad / 
  PDE_Mapa_de_Riesgos_Seguridad_Digital_V4.xlsx</v>
      </c>
      <c r="K12" s="11">
        <f ca="1">IFERROR(__xludf.DUMMYFUNCTION("""COMPUTED_VALUE"""),44650)</f>
        <v>44650</v>
      </c>
      <c r="L12" s="12">
        <f ca="1">IFERROR(__xludf.DUMMYFUNCTION("""COMPUTED_VALUE"""),1)</f>
        <v>1</v>
      </c>
      <c r="M12" s="10" t="str">
        <f ca="1">IFERROR(__xludf.DUMMYFUNCTION("""COMPUTED_VALUE"""),"Documento disponible en: SAIA / Módulo SIG / Promoción del Desarrollo Económico / Tecnología de la Información y la Comunicación / Otros documentos de calidad / 
  PDE_Mapa_de_Riesgos_Seguridad_Digital_V4.xlsx")</f>
        <v>Documento disponible en: SAIA / Módulo SIG / Promoción del Desarrollo Económico / Tecnología de la Información y la Comunicación / Otros documentos de calidad / 
  PDE_Mapa_de_Riesgos_Seguridad_Digital_V4.xlsx</v>
      </c>
      <c r="N12" s="11">
        <f ca="1">IFERROR(__xludf.DUMMYFUNCTION("""COMPUTED_VALUE"""),44742)</f>
        <v>44742</v>
      </c>
      <c r="O12" s="12">
        <f ca="1">IFERROR(__xludf.DUMMYFUNCTION("""COMPUTED_VALUE"""),1)</f>
        <v>1</v>
      </c>
      <c r="P12" s="10" t="str">
        <f ca="1">IFERROR(__xludf.DUMMYFUNCTION("""COMPUTED_VALUE"""),"Documento disponible en: SAIA / Módulo SIG / Promoción del Desarrollo Económico / Tecnología de la Información y la Comunicación / Otros documentos de calidad / 
 PDE_Mapa_de_Riesgos_Seguridad_Digital_V4.xlsx")</f>
        <v>Documento disponible en: SAIA / Módulo SIG / Promoción del Desarrollo Económico / Tecnología de la Información y la Comunicación / Otros documentos de calidad / 
 PDE_Mapa_de_Riesgos_Seguridad_Digital_V4.xlsx</v>
      </c>
      <c r="Q12" s="11">
        <f ca="1">IFERROR(__xludf.DUMMYFUNCTION("""COMPUTED_VALUE"""),44834)</f>
        <v>44834</v>
      </c>
      <c r="R12" s="12">
        <f ca="1">IFERROR(__xludf.DUMMYFUNCTION("""COMPUTED_VALUE"""),1)</f>
        <v>1</v>
      </c>
      <c r="S12" s="10" t="str">
        <f ca="1">IFERROR(__xludf.DUMMYFUNCTION("""COMPUTED_VALUE"""),"Documento disponible en: SAIA / Módulo SIG / Promoción del Desarrollo Económico / Tecnología de la Información y la Comunicación / Otros documentos de calidad / 
  PDE_Mapa_de_Riesgos_Seguridad_Digital_V4.xlsx")</f>
        <v>Documento disponible en: SAIA / Módulo SIG / Promoción del Desarrollo Económico / Tecnología de la Información y la Comunicación / Otros documentos de calidad / 
  PDE_Mapa_de_Riesgos_Seguridad_Digital_V4.xlsx</v>
      </c>
      <c r="T12" s="11">
        <f ca="1">IFERROR(__xludf.DUMMYFUNCTION("""COMPUTED_VALUE"""),44925)</f>
        <v>44925</v>
      </c>
      <c r="U12" s="10"/>
    </row>
    <row r="13" spans="1:29" ht="37.5" customHeight="1" x14ac:dyDescent="0.2">
      <c r="A13" s="10" t="str">
        <f ca="1">IFERROR(__xludf.DUMMYFUNCTION("""COMPUTED_VALUE"""),"Control Interno")</f>
        <v>Control Interno</v>
      </c>
      <c r="B13" s="10" t="str">
        <f ca="1">IFERROR(__xludf.DUMMYFUNCTION("""COMPUTED_VALUE"""),"Control Interno")</f>
        <v>Control Interno</v>
      </c>
      <c r="C13" s="10" t="str">
        <f ca="1">IFERROR(__xludf.DUMMYFUNCTION("""COMPUTED_VALUE"""),"se ejerce supervision permante a la entrega de productos de los proveedores de servicios informaticos")</f>
        <v>se ejerce supervision permante a la entrega de productos de los proveedores de servicios informaticos</v>
      </c>
      <c r="D13" s="10" t="str">
        <f ca="1">IFERROR(__xludf.DUMMYFUNCTION("""COMPUTED_VALUE"""),"Informes de supervisión de contratos con proveedores de sistemas de información y servicios tecnológicos")</f>
        <v>Informes de supervisión de contratos con proveedores de sistemas de información y servicios tecnológicos</v>
      </c>
      <c r="E13" s="10" t="str">
        <f ca="1">IFERROR(__xludf.DUMMYFUNCTION("""COMPUTED_VALUE"""),"100% de informes de supervisión de contratos con proveedores sistemas de información y servicios tecnológicos aprobados")</f>
        <v>100% de informes de supervisión de contratos con proveedores sistemas de información y servicios tecnológicos aprobados</v>
      </c>
      <c r="F13" s="11">
        <f ca="1">IFERROR(__xludf.DUMMYFUNCTION("""COMPUTED_VALUE"""),44562)</f>
        <v>44562</v>
      </c>
      <c r="G13" s="11">
        <f ca="1">IFERROR(__xludf.DUMMYFUNCTION("""COMPUTED_VALUE"""),44926)</f>
        <v>44926</v>
      </c>
      <c r="H13" s="10" t="str">
        <f ca="1">IFERROR(__xludf.DUMMYFUNCTION("""COMPUTED_VALUE"""),"Secretaría de Tecnologías de la Información y la Comunicación")</f>
        <v>Secretaría de Tecnologías de la Información y la Comunicación</v>
      </c>
      <c r="I13" s="12">
        <f ca="1">IFERROR(__xludf.DUMMYFUNCTION("""COMPUTED_VALUE"""),0.25)</f>
        <v>0.25</v>
      </c>
      <c r="J13" s="10" t="str">
        <f ca="1">IFERROR(__xludf.DUMMYFUNCTION("""COMPUTED_VALUE"""),"Informes de supervisión de los contratos con proveedores de sistemas de información y servicios tecnológicos en custodía de la Secretaría de Tecnologías de la Información y la Comunicación")</f>
        <v>Informes de supervisión de los contratos con proveedores de sistemas de información y servicios tecnológicos en custodía de la Secretaría de Tecnologías de la Información y la Comunicación</v>
      </c>
      <c r="K13" s="11">
        <f ca="1">IFERROR(__xludf.DUMMYFUNCTION("""COMPUTED_VALUE"""),44650)</f>
        <v>44650</v>
      </c>
      <c r="L13" s="12">
        <f ca="1">IFERROR(__xludf.DUMMYFUNCTION("""COMPUTED_VALUE"""),0.5)</f>
        <v>0.5</v>
      </c>
      <c r="M13" s="10" t="str">
        <f ca="1">IFERROR(__xludf.DUMMYFUNCTION("""COMPUTED_VALUE"""),"Informes de supervisión de los contratos con proveedores de sistemas de información y servicios tecnológicos en custodía de la Secretaría de Tecnologías de la Información y la Comunicación")</f>
        <v>Informes de supervisión de los contratos con proveedores de sistemas de información y servicios tecnológicos en custodía de la Secretaría de Tecnologías de la Información y la Comunicación</v>
      </c>
      <c r="N13" s="11">
        <f ca="1">IFERROR(__xludf.DUMMYFUNCTION("""COMPUTED_VALUE"""),44742)</f>
        <v>44742</v>
      </c>
      <c r="O13" s="12">
        <f ca="1">IFERROR(__xludf.DUMMYFUNCTION("""COMPUTED_VALUE"""),0.75)</f>
        <v>0.75</v>
      </c>
      <c r="P13" s="10" t="str">
        <f ca="1">IFERROR(__xludf.DUMMYFUNCTION("""COMPUTED_VALUE"""),"Informes de supervisión de los contratos con proveedores de sistemas de información y servicios tecnológicos en custodía de la Secretaría de Tecnologías de la Información y la Comunicación")</f>
        <v>Informes de supervisión de los contratos con proveedores de sistemas de información y servicios tecnológicos en custodía de la Secretaría de Tecnologías de la Información y la Comunicación</v>
      </c>
      <c r="Q13" s="11">
        <f ca="1">IFERROR(__xludf.DUMMYFUNCTION("""COMPUTED_VALUE"""),44834)</f>
        <v>44834</v>
      </c>
      <c r="R13" s="12">
        <f ca="1">IFERROR(__xludf.DUMMYFUNCTION("""COMPUTED_VALUE"""),0.75)</f>
        <v>0.75</v>
      </c>
      <c r="S13" s="10" t="str">
        <f ca="1">IFERROR(__xludf.DUMMYFUNCTION("""COMPUTED_VALUE"""),"Informes de actividades de proveedores de sistemas de información y servicios tecnológicos en la plataforma SECOP II y en custodia de la Secretaría de Tecnologías de la Información y la Comunicación.
 Contratos:
 3484 enero de 2022
 1920 enero de 2022
 "&amp;"3829 febrero de 2022
 3478 enero de 2022
 3479 enero de 2022
 3484 enero de 2022
 3856 abril de 2022
 3875 mayo de 2022
 5516 agosto de 2022")</f>
        <v>Informes de actividades de proveedores de sistemas de información y servicios tecnológicos en la plataforma SECOP II y en custodia de la Secretaría de Tecnologías de la Información y la Comunicación.
 Contratos:
 3484 enero de 2022
 1920 enero de 2022
 3829 febrero de 2022
 3478 enero de 2022
 3479 enero de 2022
 3484 enero de 2022
 3856 abril de 2022
 3875 mayo de 2022
 5516 agosto de 2022</v>
      </c>
      <c r="T13" s="11">
        <f ca="1">IFERROR(__xludf.DUMMYFUNCTION("""COMPUTED_VALUE"""),44925)</f>
        <v>44925</v>
      </c>
      <c r="U13" s="10"/>
    </row>
    <row r="14" spans="1:29" ht="37.5" customHeight="1" x14ac:dyDescent="0.2">
      <c r="A14" s="10" t="str">
        <f ca="1">IFERROR(__xludf.DUMMYFUNCTION("""COMPUTED_VALUE"""),"Control Interno")</f>
        <v>Control Interno</v>
      </c>
      <c r="B14" s="10" t="str">
        <f ca="1">IFERROR(__xludf.DUMMYFUNCTION("""COMPUTED_VALUE"""),"Control Interno")</f>
        <v>Control Interno</v>
      </c>
      <c r="C14" s="10" t="str">
        <f ca="1">IFERROR(__xludf.DUMMYFUNCTION("""COMPUTED_VALUE"""),"cada sistema de informacion utilizado en la entidad tiene definido sus roles y usuarios")</f>
        <v>cada sistema de informacion utilizado en la entidad tiene definido sus roles y usuarios</v>
      </c>
      <c r="D14" s="10" t="str">
        <f ca="1">IFERROR(__xludf.DUMMYFUNCTION("""COMPUTED_VALUE"""),"Formato de Solicitud para la creación y renovación de perfiles, en donde se indican los permisos requeridos en cada sistema de información administrado por la Secretaría de Tecnologías de la Información y la Comunicación")</f>
        <v>Formato de Solicitud para la creación y renovación de perfiles, en donde se indican los permisos requeridos en cada sistema de información administrado por la Secretaría de Tecnologías de la Información y la Comunicación</v>
      </c>
      <c r="E14" s="10" t="str">
        <f ca="1">IFERROR(__xludf.DUMMYFUNCTION("""COMPUTED_VALUE"""),"Número de solicitudes para la creación y renovación de perfiles gestionadas / Total de solicitudes para la creación y renovación de perfiles registradas")</f>
        <v>Número de solicitudes para la creación y renovación de perfiles gestionadas / Total de solicitudes para la creación y renovación de perfiles registradas</v>
      </c>
      <c r="F14" s="11">
        <f ca="1">IFERROR(__xludf.DUMMYFUNCTION("""COMPUTED_VALUE"""),44562)</f>
        <v>44562</v>
      </c>
      <c r="G14" s="11">
        <f ca="1">IFERROR(__xludf.DUMMYFUNCTION("""COMPUTED_VALUE"""),44926)</f>
        <v>44926</v>
      </c>
      <c r="H14" s="10" t="str">
        <f ca="1">IFERROR(__xludf.DUMMYFUNCTION("""COMPUTED_VALUE"""),"Secretaría de Tecnologías de la Información y la Comunicación")</f>
        <v>Secretaría de Tecnologías de la Información y la Comunicación</v>
      </c>
      <c r="I14" s="12">
        <f ca="1">IFERROR(__xludf.DUMMYFUNCTION("""COMPUTED_VALUE"""),1)</f>
        <v>1</v>
      </c>
      <c r="J14" s="10" t="str">
        <f ca="1">IFERROR(__xludf.DUMMYFUNCTION("""COMPUTED_VALUE"""),"Solicitudes y respuesta con la generación de perfiles y credenciales de acceso a los sistemas de información, registrados en el Sistema de Gestión Documental")</f>
        <v>Solicitudes y respuesta con la generación de perfiles y credenciales de acceso a los sistemas de información, registrados en el Sistema de Gestión Documental</v>
      </c>
      <c r="K14" s="11">
        <f ca="1">IFERROR(__xludf.DUMMYFUNCTION("""COMPUTED_VALUE"""),44650)</f>
        <v>44650</v>
      </c>
      <c r="L14" s="12">
        <f ca="1">IFERROR(__xludf.DUMMYFUNCTION("""COMPUTED_VALUE"""),1)</f>
        <v>1</v>
      </c>
      <c r="M14" s="10" t="str">
        <f ca="1">IFERROR(__xludf.DUMMYFUNCTION("""COMPUTED_VALUE"""),"Solicitudes y respuesta con la generación de perfiles y credenciales de acceso a los sistemas de información, registrados en el Sistema de Gestión Documental")</f>
        <v>Solicitudes y respuesta con la generación de perfiles y credenciales de acceso a los sistemas de información, registrados en el Sistema de Gestión Documental</v>
      </c>
      <c r="N14" s="11">
        <f ca="1">IFERROR(__xludf.DUMMYFUNCTION("""COMPUTED_VALUE"""),44742)</f>
        <v>44742</v>
      </c>
      <c r="O14" s="12">
        <f ca="1">IFERROR(__xludf.DUMMYFUNCTION("""COMPUTED_VALUE"""),1)</f>
        <v>1</v>
      </c>
      <c r="P14" s="10" t="str">
        <f ca="1">IFERROR(__xludf.DUMMYFUNCTION("""COMPUTED_VALUE"""),"Solicitudes y respuesta con la generación de perfiles y credenciales de acceso a los sistemas de información, registrados en el Sistema de Gestión Documental")</f>
        <v>Solicitudes y respuesta con la generación de perfiles y credenciales de acceso a los sistemas de información, registrados en el Sistema de Gestión Documental</v>
      </c>
      <c r="Q14" s="11">
        <f ca="1">IFERROR(__xludf.DUMMYFUNCTION("""COMPUTED_VALUE"""),44834)</f>
        <v>44834</v>
      </c>
      <c r="R14" s="12">
        <f ca="1">IFERROR(__xludf.DUMMYFUNCTION("""COMPUTED_VALUE"""),1)</f>
        <v>1</v>
      </c>
      <c r="S14" s="10" t="str">
        <f ca="1">IFERROR(__xludf.DUMMYFUNCTION("""COMPUTED_VALUE"""),"Solicitudes y respuesta con la generación de perfiles y credenciales de acceso a los sistemas de información, registrados en el Sistema de Gestión Documental")</f>
        <v>Solicitudes y respuesta con la generación de perfiles y credenciales de acceso a los sistemas de información, registrados en el Sistema de Gestión Documental</v>
      </c>
      <c r="T14" s="11">
        <f ca="1">IFERROR(__xludf.DUMMYFUNCTION("""COMPUTED_VALUE"""),44925)</f>
        <v>44925</v>
      </c>
      <c r="U14" s="10"/>
    </row>
    <row r="15" spans="1:29" ht="37.5" customHeight="1" x14ac:dyDescent="0.2">
      <c r="A15" s="10" t="str">
        <f ca="1">IFERROR(__xludf.DUMMYFUNCTION("""COMPUTED_VALUE"""),"Control Interno")</f>
        <v>Control Interno</v>
      </c>
      <c r="B15" s="10" t="str">
        <f ca="1">IFERROR(__xludf.DUMMYFUNCTION("""COMPUTED_VALUE"""),"Control Interno")</f>
        <v>Control Interno</v>
      </c>
      <c r="C15" s="10" t="str">
        <f ca="1">IFERROR(__xludf.DUMMYFUNCTION("""COMPUTED_VALUE"""),"la 3ra linea evalua la actualizacion de procesos, procedimientos a traves de los Informes de auditorías y de seguimientos realizados. El area de sistema integrados de gestion identifica las necesidades de actualizacion de los procesos, procedimientos, pol"&amp;"iticas, manuales.")</f>
        <v>la 3ra linea evalua la actualizacion de procesos, procedimientos a traves de los Informes de auditorías y de seguimientos realizados. El area de sistema integrados de gestion identifica las necesidades de actualizacion de los procesos, procedimientos, politicas, manuales.</v>
      </c>
      <c r="D15" s="10" t="str">
        <f ca="1">IFERROR(__xludf.DUMMYFUNCTION("""COMPUTED_VALUE"""),"Informes de auditorías y de seguimientos realizados")</f>
        <v>Informes de auditorías y de seguimientos realizados</v>
      </c>
      <c r="E15" s="10" t="str">
        <f ca="1">IFERROR(__xludf.DUMMYFUNCTION("""COMPUTED_VALUE"""),"(Número de auditoías y seguimientos realizadas/Número de auditorías programadas y seguimientos en el PGA 2021 *100 META: 14 AUDITORIAS Y 132 SEGUIMIENTOS")</f>
        <v>(Número de auditoías y seguimientos realizadas/Número de auditorías programadas y seguimientos en el PGA 2021 *100 META: 14 AUDITORIAS Y 132 SEGUIMIENTOS</v>
      </c>
      <c r="F15" s="11">
        <f ca="1">IFERROR(__xludf.DUMMYFUNCTION("""COMPUTED_VALUE"""),44582)</f>
        <v>44582</v>
      </c>
      <c r="G15" s="11">
        <f ca="1">IFERROR(__xludf.DUMMYFUNCTION("""COMPUTED_VALUE"""),44926)</f>
        <v>44926</v>
      </c>
      <c r="H15" s="10" t="str">
        <f ca="1">IFERROR(__xludf.DUMMYFUNCTION("""COMPUTED_VALUE"""),"Asesor de Control Interno")</f>
        <v>Asesor de Control Interno</v>
      </c>
      <c r="I15" s="12"/>
      <c r="J15" s="10" t="str">
        <f ca="1">IFERROR(__xludf.DUMMYFUNCTION("""COMPUTED_VALUE"""),"Durante el primer trimestre se realizaron un total de 31 seguimientos de los 132 programados para este año. Las auditorías se realizaran a partir del mes de abril de 2022 link: drive2022/informes/informes tecnicos, seguimiento link: drive2022/informes/inf"&amp;"ormes de auditoria")</f>
        <v>Durante el primer trimestre se realizaron un total de 31 seguimientos de los 132 programados para este año. Las auditorías se realizaran a partir del mes de abril de 2022 link: drive2022/informes/informes tecnicos, seguimiento link: drive2022/informes/informes de auditoria</v>
      </c>
      <c r="K15" s="11">
        <f ca="1">IFERROR(__xludf.DUMMYFUNCTION("""COMPUTED_VALUE"""),44650)</f>
        <v>44650</v>
      </c>
      <c r="L15" s="12"/>
      <c r="M15" s="10" t="str">
        <f ca="1">IFERROR(__xludf.DUMMYFUNCTION("""COMPUTED_VALUE"""),"Durante el segundo trimestre se realizaron un total de 65 seguimientos de los 136 programados para este año. Las auditorías se han ejecutado en un 57%  a junio 30 de 2022
 ")</f>
        <v xml:space="preserve">Durante el segundo trimestre se realizaron un total de 65 seguimientos de los 136 programados para este año. Las auditorías se han ejecutado en un 57%  a junio 30 de 2022
 </v>
      </c>
      <c r="N15" s="11">
        <f ca="1">IFERROR(__xludf.DUMMYFUNCTION("""COMPUTED_VALUE"""),44742)</f>
        <v>44742</v>
      </c>
      <c r="O15" s="12">
        <f ca="1">IFERROR(__xludf.DUMMYFUNCTION("""COMPUTED_VALUE"""),0.74)</f>
        <v>0.74</v>
      </c>
      <c r="P15" s="10" t="str">
        <f ca="1">IFERROR(__xludf.DUMMYFUNCTION("""COMPUTED_VALUE"""),"se han realizado 81 informes de 136 con un porcentaje de avance del 60%  y 23 informes de ley de 26 para un 88.5 de avance y Existen 10 auditorias en fase de informe final Link:Drive / OFICINA ASESORA DE CONTROL 2022/informes/informes tecnicos  / link: OF"&amp;"ICINA ASESORA DE CONTROL 2022/Informes / auditoriasLINK:OFICINA ASESORA DE CONTROL 2022/Informes / auditorias ")</f>
        <v xml:space="preserve">se han realizado 81 informes de 136 con un porcentaje de avance del 60%  y 23 informes de ley de 26 para un 88.5 de avance y Existen 10 auditorias en fase de informe final Link:Drive / OFICINA ASESORA DE CONTROL 2022/informes/informes tecnicos  / link: OFICINA ASESORA DE CONTROL 2022/Informes / auditoriasLINK:OFICINA ASESORA DE CONTROL 2022/Informes / auditorias </v>
      </c>
      <c r="Q15" s="11">
        <f ca="1">IFERROR(__xludf.DUMMYFUNCTION("""COMPUTED_VALUE"""),44834)</f>
        <v>44834</v>
      </c>
      <c r="R15" s="12">
        <f ca="1">IFERROR(__xludf.DUMMYFUNCTION("""COMPUTED_VALUE"""),1)</f>
        <v>1</v>
      </c>
      <c r="S15" s="10" t="str">
        <f ca="1">IFERROR(__xludf.DUMMYFUNCTION("""COMPUTED_VALUE"""),"se han realizado 136 informes de 136 con un porcentaje de avance del 100%  y 26 informes de ley de 26 para un 100% de avance y Existen 10 auditorias en fase de informe final Link:Drive / OFICINA ASESORA DE CONTROL 2022/informes/informes tecnicos  / link: "&amp;"OFICINA ASESORA DE CONTROL 2022/Informes / auditoriasLINK:OFICINA ASESORA DE CONTROL 2022/Informes / auditorias ")</f>
        <v xml:space="preserve">se han realizado 136 informes de 136 con un porcentaje de avance del 100%  y 26 informes de ley de 26 para un 100% de avance y Existen 10 auditorias en fase de informe final Link:Drive / OFICINA ASESORA DE CONTROL 2022/informes/informes tecnicos  / link: OFICINA ASESORA DE CONTROL 2022/Informes / auditoriasLINK:OFICINA ASESORA DE CONTROL 2022/Informes / auditorias </v>
      </c>
      <c r="T15" s="11">
        <f ca="1">IFERROR(__xludf.DUMMYFUNCTION("""COMPUTED_VALUE"""),44925)</f>
        <v>44925</v>
      </c>
      <c r="U15" s="10"/>
    </row>
    <row r="16" spans="1:29" ht="37.5" customHeight="1" x14ac:dyDescent="0.2">
      <c r="A16" s="10" t="str">
        <f ca="1">IFERROR(__xludf.DUMMYFUNCTION("""COMPUTED_VALUE"""),"Control Interno")</f>
        <v>Control Interno</v>
      </c>
      <c r="B16" s="10" t="str">
        <f ca="1">IFERROR(__xludf.DUMMYFUNCTION("""COMPUTED_VALUE"""),"Control Interno")</f>
        <v>Control Interno</v>
      </c>
      <c r="C16" s="10" t="str">
        <f ca="1">IFERROR(__xludf.DUMMYFUNCTION("""COMPUTED_VALUE"""),"Las políticas de operacion frente a la administracion de la información estan implementadas de acuerdo al PETIC elaborado por la Secretría de Tecnologías de la Información y la Comunicación")</f>
        <v>Las políticas de operacion frente a la administracion de la información estan implementadas de acuerdo al PETIC elaborado por la Secretría de Tecnologías de la Información y la Comunicación</v>
      </c>
      <c r="D16" s="10" t="str">
        <f ca="1">IFERROR(__xludf.DUMMYFUNCTION("""COMPUTED_VALUE"""),"Manual de Políticas de Seguridad y Privacidad de la Información")</f>
        <v>Manual de Políticas de Seguridad y Privacidad de la Información</v>
      </c>
      <c r="E16" s="10" t="str">
        <f ca="1">IFERROR(__xludf.DUMMYFUNCTION("""COMPUTED_VALUE"""),"Documento actualizado Manual de Políticas de Seguridad y Privacidad de la Información")</f>
        <v>Documento actualizado Manual de Políticas de Seguridad y Privacidad de la Información</v>
      </c>
      <c r="F16" s="11">
        <f ca="1">IFERROR(__xludf.DUMMYFUNCTION("""COMPUTED_VALUE"""),44562)</f>
        <v>44562</v>
      </c>
      <c r="G16" s="11">
        <f ca="1">IFERROR(__xludf.DUMMYFUNCTION("""COMPUTED_VALUE"""),44925)</f>
        <v>44925</v>
      </c>
      <c r="H16" s="10" t="str">
        <f ca="1">IFERROR(__xludf.DUMMYFUNCTION("""COMPUTED_VALUE"""),"Secretaría de Tecnologías de la Información y la Comunicación")</f>
        <v>Secretaría de Tecnologías de la Información y la Comunicación</v>
      </c>
      <c r="I16" s="12">
        <f ca="1">IFERROR(__xludf.DUMMYFUNCTION("""COMPUTED_VALUE"""),0.9)</f>
        <v>0.9</v>
      </c>
      <c r="J16" s="10" t="str">
        <f ca="1">IFERROR(__xludf.DUMMYFUNCTION("""COMPUTED_VALUE"""),"Documento disponible en: SAIA / Módulo SIG / Promoción del Desarrollo Económico / Tecnología de la Información y la Comunicación / Otros documentos de calidad / PDE_Manual_Politicas_MSPI_V3.pdf")</f>
        <v>Documento disponible en: SAIA / Módulo SIG / Promoción del Desarrollo Económico / Tecnología de la Información y la Comunicación / Otros documentos de calidad / PDE_Manual_Politicas_MSPI_V3.pdf</v>
      </c>
      <c r="K16" s="11">
        <f ca="1">IFERROR(__xludf.DUMMYFUNCTION("""COMPUTED_VALUE"""),44650)</f>
        <v>44650</v>
      </c>
      <c r="L16" s="12">
        <f ca="1">IFERROR(__xludf.DUMMYFUNCTION("""COMPUTED_VALUE"""),0.9)</f>
        <v>0.9</v>
      </c>
      <c r="M16" s="10" t="str">
        <f ca="1">IFERROR(__xludf.DUMMYFUNCTION("""COMPUTED_VALUE"""),"Documento disponible en: SAIA / Módulo SIG / Promoción del Desarrollo Económico / Tecnología de la Información y la Comunicación / Otros documentos de calidad / PDE_Manual_Politicas_MSPI_V3.pdf")</f>
        <v>Documento disponible en: SAIA / Módulo SIG / Promoción del Desarrollo Económico / Tecnología de la Información y la Comunicación / Otros documentos de calidad / PDE_Manual_Politicas_MSPI_V3.pdf</v>
      </c>
      <c r="N16" s="11">
        <f ca="1">IFERROR(__xludf.DUMMYFUNCTION("""COMPUTED_VALUE"""),44742)</f>
        <v>44742</v>
      </c>
      <c r="O16" s="12">
        <f ca="1">IFERROR(__xludf.DUMMYFUNCTION("""COMPUTED_VALUE"""),0.95)</f>
        <v>0.95</v>
      </c>
      <c r="P16" s="10" t="str">
        <f ca="1">IFERROR(__xludf.DUMMYFUNCTION("""COMPUTED_VALUE"""),"Documento en proceso de actualización.
Documento vigente disponible en: SAIA / Módulo SIG / Promoción del Desarrollo Económico / Tecnología de la Información y la Comunicación / Otros documentos de calidad / PDE_Manual_Politicas_MSPI_V3.pdf
")</f>
        <v xml:space="preserve">Documento en proceso de actualización.
Documento vigente disponible en: SAIA / Módulo SIG / Promoción del Desarrollo Económico / Tecnología de la Información y la Comunicación / Otros documentos de calidad / PDE_Manual_Politicas_MSPI_V3.pdf
</v>
      </c>
      <c r="Q16" s="11">
        <f ca="1">IFERROR(__xludf.DUMMYFUNCTION("""COMPUTED_VALUE"""),44834)</f>
        <v>44834</v>
      </c>
      <c r="R16" s="12">
        <f ca="1">IFERROR(__xludf.DUMMYFUNCTION("""COMPUTED_VALUE"""),0.95)</f>
        <v>0.95</v>
      </c>
      <c r="S16" s="10" t="str">
        <f ca="1">IFERROR(__xludf.DUMMYFUNCTION("""COMPUTED_VALUE"""),"Documento en revisión para la publicación de la versión 04.
 Documento vigente disponible en: SAIA / Módulo SIG / Promoción del Desarrollo Económico / Tecnología de la Información y la Comunicación / Otros documentos de calidad / PDE_Manual_Politicas_MS"&amp;"PI_V3.pdf")</f>
        <v>Documento en revisión para la publicación de la versión 04.
 Documento vigente disponible en: SAIA / Módulo SIG / Promoción del Desarrollo Económico / Tecnología de la Información y la Comunicación / Otros documentos de calidad / PDE_Manual_Politicas_MSPI_V3.pdf</v>
      </c>
      <c r="T16" s="11">
        <f ca="1">IFERROR(__xludf.DUMMYFUNCTION("""COMPUTED_VALUE"""),44925)</f>
        <v>44925</v>
      </c>
      <c r="U16" s="10"/>
    </row>
    <row r="17" spans="1:21" ht="37.5" customHeight="1" x14ac:dyDescent="0.2">
      <c r="A17" s="10" t="str">
        <f ca="1">IFERROR(__xludf.DUMMYFUNCTION("""COMPUTED_VALUE"""),"Control Interno")</f>
        <v>Control Interno</v>
      </c>
      <c r="B17" s="10" t="str">
        <f ca="1">IFERROR(__xludf.DUMMYFUNCTION("""COMPUTED_VALUE"""),"Control Interno")</f>
        <v>Control Interno</v>
      </c>
      <c r="C17" s="10" t="str">
        <f ca="1">IFERROR(__xludf.DUMMYFUNCTION("""COMPUTED_VALUE"""),"se hacen planes de mejoramiento a las auditorias de los entes de control")</f>
        <v>se hacen planes de mejoramiento a las auditorias de los entes de control</v>
      </c>
      <c r="D17" s="10" t="str">
        <f ca="1">IFERROR(__xludf.DUMMYFUNCTION("""COMPUTED_VALUE"""),"Informes de auditorías realizadas")</f>
        <v>Informes de auditorías realizadas</v>
      </c>
      <c r="E17" s="10" t="str">
        <f ca="1">IFERROR(__xludf.DUMMYFUNCTION("""COMPUTED_VALUE"""),"(Número de auditorías realizadas/Número de auditorías programadas en el PGA2022) *100 META: 14 AUDITORIAS")</f>
        <v>(Número de auditorías realizadas/Número de auditorías programadas en el PGA2022) *100 META: 14 AUDITORIAS</v>
      </c>
      <c r="F17" s="11">
        <f ca="1">IFERROR(__xludf.DUMMYFUNCTION("""COMPUTED_VALUE"""),44582)</f>
        <v>44582</v>
      </c>
      <c r="G17" s="11">
        <f ca="1">IFERROR(__xludf.DUMMYFUNCTION("""COMPUTED_VALUE"""),44926)</f>
        <v>44926</v>
      </c>
      <c r="H17" s="10" t="str">
        <f ca="1">IFERROR(__xludf.DUMMYFUNCTION("""COMPUTED_VALUE"""),"Asesor de Control Interno")</f>
        <v>Asesor de Control Interno</v>
      </c>
      <c r="I17" s="12">
        <f ca="1">IFERROR(__xludf.DUMMYFUNCTION("""COMPUTED_VALUE"""),0)</f>
        <v>0</v>
      </c>
      <c r="J17" s="10" t="str">
        <f ca="1">IFERROR(__xludf.DUMMYFUNCTION("""COMPUTED_VALUE"""),"link: drive 2022/informes/planes/plan por procesos")</f>
        <v>link: drive 2022/informes/planes/plan por procesos</v>
      </c>
      <c r="K17" s="11">
        <f ca="1">IFERROR(__xludf.DUMMYFUNCTION("""COMPUTED_VALUE"""),44650)</f>
        <v>44650</v>
      </c>
      <c r="L17" s="12">
        <f ca="1">IFERROR(__xludf.DUMMYFUNCTION("""COMPUTED_VALUE"""),0)</f>
        <v>0</v>
      </c>
      <c r="M17" s="10" t="str">
        <f ca="1">IFERROR(__xludf.DUMMYFUNCTION("""COMPUTED_VALUE"""),"link: drive 2022/informes/planes /planes de mejoramiento institucional/planes por procesos")</f>
        <v>link: drive 2022/informes/planes /planes de mejoramiento institucional/planes por procesos</v>
      </c>
      <c r="N17" s="11">
        <f ca="1">IFERROR(__xludf.DUMMYFUNCTION("""COMPUTED_VALUE"""),44742)</f>
        <v>44742</v>
      </c>
      <c r="O17" s="12">
        <f ca="1">IFERROR(__xludf.DUMMYFUNCTION("""COMPUTED_VALUE"""),0.9)</f>
        <v>0.9</v>
      </c>
      <c r="P17" s="10" t="str">
        <f ca="1">IFERROR(__xludf.DUMMYFUNCTION("""COMPUTED_VALUE"""),"se hicieron planes de mejoramiento a 9 auditoirias de 10""
 link: drive 2022/informes/planes /planes de mejoramiento institucional/planes por procesos""  ")</f>
        <v xml:space="preserve">se hicieron planes de mejoramiento a 9 auditoirias de 10"
 link: drive 2022/informes/planes /planes de mejoramiento institucional/planes por procesos"  </v>
      </c>
      <c r="Q17" s="11">
        <f ca="1">IFERROR(__xludf.DUMMYFUNCTION("""COMPUTED_VALUE"""),44834)</f>
        <v>44834</v>
      </c>
      <c r="R17" s="12">
        <f ca="1">IFERROR(__xludf.DUMMYFUNCTION("""COMPUTED_VALUE"""),1)</f>
        <v>1</v>
      </c>
      <c r="S17" s="10" t="str">
        <f ca="1">IFERROR(__xludf.DUMMYFUNCTION("""COMPUTED_VALUE"""),"se hicieron planes de mejoramiento a 10 auditoirias de 10""
 link: drive 2022/informes/planes /planes de mejoramiento institucional/planes por procesos""  ")</f>
        <v xml:space="preserve">se hicieron planes de mejoramiento a 10 auditoirias de 10"
 link: drive 2022/informes/planes /planes de mejoramiento institucional/planes por procesos"  </v>
      </c>
      <c r="T17" s="11">
        <f ca="1">IFERROR(__xludf.DUMMYFUNCTION("""COMPUTED_VALUE"""),44925)</f>
        <v>44925</v>
      </c>
      <c r="U17" s="10"/>
    </row>
    <row r="18" spans="1:21" ht="37.5" customHeight="1" x14ac:dyDescent="0.2">
      <c r="A18" s="10" t="str">
        <f ca="1">IFERROR(__xludf.DUMMYFUNCTION("""COMPUTED_VALUE"""),"Control Interno")</f>
        <v>Control Interno</v>
      </c>
      <c r="B18" s="10" t="str">
        <f ca="1">IFERROR(__xludf.DUMMYFUNCTION("""COMPUTED_VALUE"""),"Control Interno")</f>
        <v>Control Interno</v>
      </c>
      <c r="C18" s="10" t="str">
        <f ca="1">IFERROR(__xludf.DUMMYFUNCTION("""COMPUTED_VALUE"""),"se hace seguimiento a autodiagnosticos de MIPG")</f>
        <v>se hace seguimiento a autodiagnosticos de MIPG</v>
      </c>
      <c r="D18" s="10" t="str">
        <f ca="1">IFERROR(__xludf.DUMMYFUNCTION("""COMPUTED_VALUE"""),"Informes de seguimiento a plan de acion y autodiagnosticos")</f>
        <v>Informes de seguimiento a plan de acion y autodiagnosticos</v>
      </c>
      <c r="E18" s="10" t="str">
        <f ca="1">IFERROR(__xludf.DUMMYFUNCTION("""COMPUTED_VALUE"""),"(Número de seguimientos realizadas/Número de seguimientos programadas en el PGA2022) *100 META: 3 seguimientos")</f>
        <v>(Número de seguimientos realizadas/Número de seguimientos programadas en el PGA2022) *100 META: 3 seguimientos</v>
      </c>
      <c r="F18" s="11">
        <f ca="1">IFERROR(__xludf.DUMMYFUNCTION("""COMPUTED_VALUE"""),44582)</f>
        <v>44582</v>
      </c>
      <c r="G18" s="11">
        <f ca="1">IFERROR(__xludf.DUMMYFUNCTION("""COMPUTED_VALUE"""),44926)</f>
        <v>44926</v>
      </c>
      <c r="H18" s="10" t="str">
        <f ca="1">IFERROR(__xludf.DUMMYFUNCTION("""COMPUTED_VALUE"""),"Asesor de Control Interno")</f>
        <v>Asesor de Control Interno</v>
      </c>
      <c r="I18" s="12">
        <f ca="1">IFERROR(__xludf.DUMMYFUNCTION("""COMPUTED_VALUE"""),0)</f>
        <v>0</v>
      </c>
      <c r="J18" s="10" t="str">
        <f ca="1">IFERROR(__xludf.DUMMYFUNCTION("""COMPUTED_VALUE"""),"link: drive 2022/informes/informes tecnicos-seguimiento MIPG")</f>
        <v>link: drive 2022/informes/informes tecnicos-seguimiento MIPG</v>
      </c>
      <c r="K18" s="11">
        <f ca="1">IFERROR(__xludf.DUMMYFUNCTION("""COMPUTED_VALUE"""),44650)</f>
        <v>44650</v>
      </c>
      <c r="L18" s="12"/>
      <c r="M18" s="10" t="str">
        <f ca="1">IFERROR(__xludf.DUMMYFUNCTION("""COMPUTED_VALUE"""),"link: drive 2022/informes/informes tecnicos-seguimiento MIPG")</f>
        <v>link: drive 2022/informes/informes tecnicos-seguimiento MIPG</v>
      </c>
      <c r="N18" s="11">
        <f ca="1">IFERROR(__xludf.DUMMYFUNCTION("""COMPUTED_VALUE"""),44742)</f>
        <v>44742</v>
      </c>
      <c r="O18" s="12">
        <f ca="1">IFERROR(__xludf.DUMMYFUNCTION("""COMPUTED_VALUE"""),0.5)</f>
        <v>0.5</v>
      </c>
      <c r="P18" s="10" t="str">
        <f ca="1">IFERROR(__xludf.DUMMYFUNCTION("""COMPUTED_VALUE"""),"
 link: drive 2022/informes/informes tecnicos-seguimiento MIPG")</f>
        <v xml:space="preserve">
 link: drive 2022/informes/informes tecnicos-seguimiento MIPG</v>
      </c>
      <c r="Q18" s="11">
        <f ca="1">IFERROR(__xludf.DUMMYFUNCTION("""COMPUTED_VALUE"""),44834)</f>
        <v>44834</v>
      </c>
      <c r="R18" s="12">
        <f ca="1">IFERROR(__xludf.DUMMYFUNCTION("""COMPUTED_VALUE"""),1)</f>
        <v>1</v>
      </c>
      <c r="S18" s="10" t="str">
        <f ca="1">IFERROR(__xludf.DUMMYFUNCTION("""COMPUTED_VALUE"""),"Se realizaron  dos seguimientos de los dos programados   link: drive2022/informes/informes tecnicos seguimiento MIPG  ")</f>
        <v xml:space="preserve">Se realizaron  dos seguimientos de los dos programados   link: drive2022/informes/informes tecnicos seguimiento MIPG  </v>
      </c>
      <c r="T18" s="11">
        <f ca="1">IFERROR(__xludf.DUMMYFUNCTION("""COMPUTED_VALUE"""),44925)</f>
        <v>44925</v>
      </c>
      <c r="U18" s="10"/>
    </row>
    <row r="19" spans="1:21" ht="37.5" customHeight="1" x14ac:dyDescent="0.2">
      <c r="A19" s="10" t="str">
        <f ca="1">IFERROR(__xludf.DUMMYFUNCTION("""COMPUTED_VALUE"""),"Gestión con valores para resultados")</f>
        <v>Gestión con valores para resultados</v>
      </c>
      <c r="B19" s="10" t="str">
        <f ca="1">IFERROR(__xludf.DUMMYFUNCTION("""COMPUTED_VALUE"""),"Defensa Jurídica")</f>
        <v>Defensa Jurídica</v>
      </c>
      <c r="C19" s="10" t="str">
        <f ca="1">IFERROR(__xludf.DUMMYFUNCTION("""COMPUTED_VALUE"""),"La entidad hace seguimiento al plan de accion y al(los) indicador(es) formulado(s) en sus políticas de prevención del daño antijurídico.")</f>
        <v>La entidad hace seguimiento al plan de accion y al(los) indicador(es) formulado(s) en sus políticas de prevención del daño antijurídico.</v>
      </c>
      <c r="D19" s="10" t="str">
        <f ca="1">IFERROR(__xludf.DUMMYFUNCTION("""COMPUTED_VALUE"""),"Socialización y seguimiento de la política de prevención del daño antijurídico, formulada en el año 2017, actualizada mediante Resolución de Formulación N° 14142 del 11/12/2019 y Resolución de Adopción N° 14811 del 17/12/2019, apoyando a la Dirección de A"&amp;"suntos Estratégicos suministrando la información registrada en el Sistema de Información de Proceso Judiciales Siproj y del ejercicio de defensa realizado por los apoderados judiciales de forma mensual.")</f>
        <v>Socialización y seguimiento de la política de prevención del daño antijurídico, formulada en el año 2017, actualizada mediante Resolución de Formulación N° 14142 del 11/12/2019 y Resolución de Adopción N° 14811 del 17/12/2019, apoyando a la Dirección de Asuntos Estratégicos suministrando la información registrada en el Sistema de Información de Proceso Judiciales Siproj y del ejercicio de defensa realizado por los apoderados judiciales de forma mensual.</v>
      </c>
      <c r="E19" s="10" t="str">
        <f ca="1">IFERROR(__xludf.DUMMYFUNCTION("""COMPUTED_VALUE"""),"Actividad ejecutada al 100%, según lo requerido")</f>
        <v>Actividad ejecutada al 100%, según lo requerido</v>
      </c>
      <c r="F19" s="11">
        <f ca="1">IFERROR(__xludf.DUMMYFUNCTION("""COMPUTED_VALUE"""),44562)</f>
        <v>44562</v>
      </c>
      <c r="G19" s="11">
        <f ca="1">IFERROR(__xludf.DUMMYFUNCTION("""COMPUTED_VALUE"""),44926)</f>
        <v>44926</v>
      </c>
      <c r="H19" s="10" t="str">
        <f ca="1">IFERROR(__xludf.DUMMYFUNCTION("""COMPUTED_VALUE"""),"Directora de Defensa Jurídica y Directora de Asuntos Jurídicos Estratégicos")</f>
        <v>Directora de Defensa Jurídica y Directora de Asuntos Jurídicos Estratégicos</v>
      </c>
      <c r="I19" s="12">
        <f ca="1">IFERROR(__xludf.DUMMYFUNCTION("""COMPUTED_VALUE"""),1)</f>
        <v>1</v>
      </c>
      <c r="J19" s="10" t="str">
        <f ca="1">IFERROR(__xludf.DUMMYFUNCTION("""COMPUTED_VALUE"""),"Comunicación SAIA No. 183 del 04 de enero de 2022 - Atención Integral y Oportuna de las Acciones de Tutela Para Cumplimiento de la Política de Prevención del Daño antijurídico y el Manual de Procedimiento de Defensa de Tutelas –; SAIA No. 10582 del 02 de "&amp;"marzo de 2022 - INSTRUCCIONES CERTIFICADO PAZ Y SALVO SIPROJ - CAPACITACIÓN SIPROJ mediante la cual se convoca a una capacitación que se llevó a cabo el día miércoles 9 de marzo a las 2:00 P.M. por medio del siguiente link https://meet.google.com/xxr-uzuv"&amp;"-vrj, con el objeto de garantizar la actualización SIPROJ, en materia de acciones de tutela para dar aplicación a la política de prevención del daño antijurídico. El 07 de marzo de 2022 a partir de las 9:00 a.m. en el 9° piso de la entidad se reunió todo "&amp;"el equipo de Defensa Jurídica con el objeto de socializar informe de la Dirección y como secretaria técnica del comité de conciliación el informe que se rindió al comité mediante SAIA No. 2982 del 25 de enero de 2022 – COMITÉ ORDINARIO DEL 26 DE ENERO DE "&amp;"2022 -. Comunicación No. 119 del 04 de enero de 2022 por medio del cual se reitera el correo oficial de notificaciones judiciales al CSJ para que sea socializado con los despachos judiciales. Circular del 04 de enero de 2022 reinterando instrucciones resp"&amp;"ecto a la asistencia a audiencias en procesos Ordinario Laboral y Acción Popular, socializada mediante SAIA No. No. 631 del 07 de enero de 2022.")</f>
        <v>Comunicación SAIA No. 183 del 04 de enero de 2022 - Atención Integral y Oportuna de las Acciones de Tutela Para Cumplimiento de la Política de Prevención del Daño antijurídico y el Manual de Procedimiento de Defensa de Tutelas –; SAIA No. 10582 del 02 de marzo de 2022 - INSTRUCCIONES CERTIFICADO PAZ Y SALVO SIPROJ - CAPACITACIÓN SIPROJ mediante la cual se convoca a una capacitación que se llevó a cabo el día miércoles 9 de marzo a las 2:00 P.M. por medio del siguiente link https://meet.google.com/xxr-uzuv-vrj, con el objeto de garantizar la actualización SIPROJ, en materia de acciones de tutela para dar aplicación a la política de prevención del daño antijurídico. El 07 de marzo de 2022 a partir de las 9:00 a.m. en el 9° piso de la entidad se reunió todo el equipo de Defensa Jurídica con el objeto de socializar informe de la Dirección y como secretaria técnica del comité de conciliación el informe que se rindió al comité mediante SAIA No. 2982 del 25 de enero de 2022 – COMITÉ ORDINARIO DEL 26 DE ENERO DE 2022 -. Comunicación No. 119 del 04 de enero de 2022 por medio del cual se reitera el correo oficial de notificaciones judiciales al CSJ para que sea socializado con los despachos judiciales. Circular del 04 de enero de 2022 reinterando instrucciones respecto a la asistencia a audiencias en procesos Ordinario Laboral y Acción Popular, socializada mediante SAIA No. No. 631 del 07 de enero de 2022.</v>
      </c>
      <c r="K19" s="11"/>
      <c r="L19" s="12">
        <f ca="1">IFERROR(__xludf.DUMMYFUNCTION("""COMPUTED_VALUE"""),1)</f>
        <v>1</v>
      </c>
      <c r="M19" s="10" t="str">
        <f ca="1">IFERROR(__xludf.DUMMYFUNCTION("""COMPUTED_VALUE"""),"Dentro de la estrategia implementada para hacer efectiva la Política de Prevención del Daño Antijuridico, se remiten por SAIA para realizar seguimiento, comunicaciones que se reciben de la comunidad o entes de control a través del correo de notificaciones"&amp;" judiciales, producto de las cuales se puede avisorar que de no ser atendidas oportuna y eficientemente podrian derivar en la activación de distintos medios de control a través de la interposición de procesos judiciales en contra de la administración muni"&amp;"cipal: Comunicación SAIA No. No. 23867 del 10 de mayo de 2022 Remisión a DIGER y CONTROL FISICO solicitud por competencia- Prevención del Dano Antijuridico-; Circular del 24 de junio de 2022 suscrita por la alcaldesa (e) dra. Luz Adriana Restrepo Ramírez "&amp;"mediante la cual se realizan Recomendaciones respecto al cumplimiento Acciones Constitucionales - Populares y Tutelas -.")</f>
        <v>Dentro de la estrategia implementada para hacer efectiva la Política de Prevención del Daño Antijuridico, se remiten por SAIA para realizar seguimiento, comunicaciones que se reciben de la comunidad o entes de control a través del correo de notificaciones judiciales, producto de las cuales se puede avisorar que de no ser atendidas oportuna y eficientemente podrian derivar en la activación de distintos medios de control a través de la interposición de procesos judiciales en contra de la administración municipal: Comunicación SAIA No. No. 23867 del 10 de mayo de 2022 Remisión a DIGER y CONTROL FISICO solicitud por competencia- Prevención del Dano Antijuridico-; Circular del 24 de junio de 2022 suscrita por la alcaldesa (e) dra. Luz Adriana Restrepo Ramírez mediante la cual se realizan Recomendaciones respecto al cumplimiento Acciones Constitucionales - Populares y Tutelas -.</v>
      </c>
      <c r="N19" s="11"/>
      <c r="O19" s="12">
        <f ca="1">IFERROR(__xludf.DUMMYFUNCTION("""COMPUTED_VALUE"""),1)</f>
        <v>1</v>
      </c>
      <c r="P19" s="10" t="str">
        <f ca="1">IFERROR(__xludf.DUMMYFUNCTION("""COMPUTED_VALUE"""),"En el periodo y en el marco de la socialización y seguimiento de la politica de prevención del daño antijuridico, se emitieron las comunicaciones SAIA No. 41585 del 05 de agosto dirigida a la Dirección de Control Fisico ""con el fin de conocer la informac"&amp;"ión que debe poseer su despacho respecto del crecimiento histórico de los asentamientos subnormales en el Municipio de Pereira en aras de realizar un análisis y comparación respecto del incremento que ha tenido en los últimos años, en atención de las dife"&amp;"rentes acciones judiciales que la comunidad en general y el Ministerio público ha interpuesto contra el ente territorial por este motivo""; No. 44467 del 18 de agosto - Prevención del Daño Antijurídico en Acciones de Tutela - dirigido a todos los responsa"&amp;"bles de plan de mejoramiento en la entidad territorial con el objeto de establecer nuevas estrategias de seguimiento y control designando enlace en cada una de las dependencias; No. 45380 del 23 de agosto dirigido también a todos los responsables de plan "&amp;"de mejoramiento con el objeto de impartir directrices respecto a la impugnación de acciones de tutela y cumplimiento del deber de actualizar el SIPROJ.")</f>
        <v>En el periodo y en el marco de la socialización y seguimiento de la politica de prevención del daño antijuridico, se emitieron las comunicaciones SAIA No. 41585 del 05 de agosto dirigida a la Dirección de Control Fisico "con el fin de conocer la información que debe poseer su despacho respecto del crecimiento histórico de los asentamientos subnormales en el Municipio de Pereira en aras de realizar un análisis y comparación respecto del incremento que ha tenido en los últimos años, en atención de las diferentes acciones judiciales que la comunidad en general y el Ministerio público ha interpuesto contra el ente territorial por este motivo"; No. 44467 del 18 de agosto - Prevención del Daño Antijurídico en Acciones de Tutela - dirigido a todos los responsables de plan de mejoramiento en la entidad territorial con el objeto de establecer nuevas estrategias de seguimiento y control designando enlace en cada una de las dependencias; No. 45380 del 23 de agosto dirigido también a todos los responsables de plan de mejoramiento con el objeto de impartir directrices respecto a la impugnación de acciones de tutela y cumplimiento del deber de actualizar el SIPROJ.</v>
      </c>
      <c r="Q19" s="11"/>
      <c r="R19" s="12">
        <f ca="1">IFERROR(__xludf.DUMMYFUNCTION("""COMPUTED_VALUE"""),1)</f>
        <v>1</v>
      </c>
      <c r="S19" s="10" t="str">
        <f ca="1">IFERROR(__xludf.DUMMYFUNCTION("""COMPUTED_VALUE"""),"Circular No. 352 del 26 de octubre - Socialización Boletín MIPG No. 3 Política de Defesa Jurídica a toda la entidad territorial, SAIA No. 60125 del 23 de octubre - Reiteración - PREVENCIÓN DEL DAÑO ANTIJURÍDICO (acciones de tutela).")</f>
        <v>Circular No. 352 del 26 de octubre - Socialización Boletín MIPG No. 3 Política de Defesa Jurídica a toda la entidad territorial, SAIA No. 60125 del 23 de octubre - Reiteración - PREVENCIÓN DEL DAÑO ANTIJURÍDICO (acciones de tutela).</v>
      </c>
      <c r="T19" s="11"/>
      <c r="U19" s="10"/>
    </row>
    <row r="20" spans="1:21" ht="37.5" customHeight="1" x14ac:dyDescent="0.2">
      <c r="A20" s="10" t="str">
        <f ca="1">IFERROR(__xludf.DUMMYFUNCTION("""COMPUTED_VALUE"""),"Gestión con valores para resultados")</f>
        <v>Gestión con valores para resultados</v>
      </c>
      <c r="B20" s="10" t="str">
        <f ca="1">IFERROR(__xludf.DUMMYFUNCTION("""COMPUTED_VALUE"""),"Defensa Jurídica")</f>
        <v>Defensa Jurídica</v>
      </c>
      <c r="C20" s="10" t="str">
        <f ca="1">IFERROR(__xludf.DUMMYFUNCTION("""COMPUTED_VALUE"""),"La entidad hace seguimiento al plan de accion y al(los) indicador(es) formulado(s) en sus políticas de prevención del daño antijurídico.")</f>
        <v>La entidad hace seguimiento al plan de accion y al(los) indicador(es) formulado(s) en sus políticas de prevención del daño antijurídico.</v>
      </c>
      <c r="D20" s="10" t="str">
        <f ca="1">IFERROR(__xludf.DUMMYFUNCTION("""COMPUTED_VALUE"""),"Elaboración de diagnóstico de los resultados de la aplicación de la Política de Prevención del Daño antijurídico y presentación de informes al Comité de Conciliación de la Entidad.")</f>
        <v>Elaboración de diagnóstico de los resultados de la aplicación de la Política de Prevención del Daño antijurídico y presentación de informes al Comité de Conciliación de la Entidad.</v>
      </c>
      <c r="E20" s="10" t="str">
        <f ca="1">IFERROR(__xludf.DUMMYFUNCTION("""COMPUTED_VALUE"""),"Actividad ejecutada al 100%")</f>
        <v>Actividad ejecutada al 100%</v>
      </c>
      <c r="F20" s="11">
        <f ca="1">IFERROR(__xludf.DUMMYFUNCTION("""COMPUTED_VALUE"""),44562)</f>
        <v>44562</v>
      </c>
      <c r="G20" s="11">
        <f ca="1">IFERROR(__xludf.DUMMYFUNCTION("""COMPUTED_VALUE"""),44926)</f>
        <v>44926</v>
      </c>
      <c r="H20" s="10" t="str">
        <f ca="1">IFERROR(__xludf.DUMMYFUNCTION("""COMPUTED_VALUE"""),"Directora de Defensa Jurídica, 1 Abogado contratista Especializado para apoyar los estudios y seguimiento a la política de prevención del daño antijurídico y defensa jurídica de la entidad.")</f>
        <v>Directora de Defensa Jurídica, 1 Abogado contratista Especializado para apoyar los estudios y seguimiento a la política de prevención del daño antijurídico y defensa jurídica de la entidad.</v>
      </c>
      <c r="I20" s="12">
        <f ca="1">IFERROR(__xludf.DUMMYFUNCTION("""COMPUTED_VALUE"""),1)</f>
        <v>1</v>
      </c>
      <c r="J20" s="10" t="str">
        <f ca="1">IFERROR(__xludf.DUMMYFUNCTION("""COMPUTED_VALUE"""),"En el trimestre a reportar mediante comunicación SAIA No. 2982 del 25 de enero de 2022 se socializó informe de gestión del Comité de Conciliación vigencia 2021 el cual fue presentado en sesión ordinaria del veintiséis (26) de enero de dos mil veintidós (2"&amp;"022); se atendió seguimiento por parte de Control Interno a la Política de Prevención del Daño Antijurídico y al SIPROJ, mediante diligenciamiento de Lista de Chequeo y reporte de evidencias vía correo electronico enviado a controlinterno@pereira.gov.co y"&amp;" mauriciogutierrezciro@gmail.com.")</f>
        <v>En el trimestre a reportar mediante comunicación SAIA No. 2982 del 25 de enero de 2022 se socializó informe de gestión del Comité de Conciliación vigencia 2021 el cual fue presentado en sesión ordinaria del veintiséis (26) de enero de dos mil veintidós (2022); se atendió seguimiento por parte de Control Interno a la Política de Prevención del Daño Antijurídico y al SIPROJ, mediante diligenciamiento de Lista de Chequeo y reporte de evidencias vía correo electronico enviado a controlinterno@pereira.gov.co y mauriciogutierrezciro@gmail.com.</v>
      </c>
      <c r="K20" s="11"/>
      <c r="L20" s="12">
        <f ca="1">IFERROR(__xludf.DUMMYFUNCTION("""COMPUTED_VALUE"""),1)</f>
        <v>1</v>
      </c>
      <c r="M20" s="10" t="str">
        <f ca="1">IFERROR(__xludf.DUMMYFUNCTION("""COMPUTED_VALUE"""),"En el trimestre a reportar mediante comunicación SAIA No. 26909 del 23 de mayo de 2022 por la cual se convoca a sesión ordinaria del Comité de Conciliación del 25 de mayo de 2022, en la cual se rindió informe sobre la ejecución del rubro de Sentencias y C"&amp;"onciliación; No. 27740 del 26 de mayo de 2022 se realiza solicitud de certificación bancaria a la cual sea procedente realizar la devolución de depositos judiciales, con el proposito de recuperar los que se realizan para suspender la sanción moratoria, co"&amp;"n lo cual se previene detrimento a la entidad haciendo más eficiente la defensa de los intereses evitando que se concrete el daño antijurídico; No. 29340 del 03 de junio dirigido a la Secretaria de Hacienda, con el objeto de informar los fallos de Primera"&amp;" y Segunda Instancia sobre la liquidación de la plusvalía en los cuales ha resultado favorecida la administración.")</f>
        <v>En el trimestre a reportar mediante comunicación SAIA No. 26909 del 23 de mayo de 2022 por la cual se convoca a sesión ordinaria del Comité de Conciliación del 25 de mayo de 2022, en la cual se rindió informe sobre la ejecución del rubro de Sentencias y Conciliación; No. 27740 del 26 de mayo de 2022 se realiza solicitud de certificación bancaria a la cual sea procedente realizar la devolución de depositos judiciales, con el proposito de recuperar los que se realizan para suspender la sanción moratoria, con lo cual se previene detrimento a la entidad haciendo más eficiente la defensa de los intereses evitando que se concrete el daño antijurídico; No. 29340 del 03 de junio dirigido a la Secretaria de Hacienda, con el objeto de informar los fallos de Primera y Segunda Instancia sobre la liquidación de la plusvalía en los cuales ha resultado favorecida la administración.</v>
      </c>
      <c r="N20" s="11"/>
      <c r="O20" s="12">
        <f ca="1">IFERROR(__xludf.DUMMYFUNCTION("""COMPUTED_VALUE"""),1)</f>
        <v>1</v>
      </c>
      <c r="P20" s="10" t="str">
        <f ca="1">IFERROR(__xludf.DUMMYFUNCTION("""COMPUTED_VALUE"""),"Mediante comunicación SAIA No. 47802 del 05 de septiembre se convoco a Comité Ordinario de Conciliación a celebrarse el siete (07) de septiembre de dos mil veintidós (2022) a las 7:00 a.m. a través de: https://meet.google.com/enr-jiuk-cvq , en cuyo orden "&amp;"del día se desarrolló socialización de informe primer semestre vigencia 2022 de actuaciones del comité de conciliación.")</f>
        <v>Mediante comunicación SAIA No. 47802 del 05 de septiembre se convoco a Comité Ordinario de Conciliación a celebrarse el siete (07) de septiembre de dos mil veintidós (2022) a las 7:00 a.m. a través de: https://meet.google.com/enr-jiuk-cvq , en cuyo orden del día se desarrolló socialización de informe primer semestre vigencia 2022 de actuaciones del comité de conciliación.</v>
      </c>
      <c r="Q20" s="11"/>
      <c r="R20" s="12">
        <f ca="1">IFERROR(__xludf.DUMMYFUNCTION("""COMPUTED_VALUE"""),1)</f>
        <v>1</v>
      </c>
      <c r="S20" s="10" t="str">
        <f ca="1">IFERROR(__xludf.DUMMYFUNCTION("""COMPUTED_VALUE"""),"Se socializa con los miembros del Comité de Conciliación los resultados de los seguimientos realizados por Control Interno al Sistema de Información de Procesos Judiciales - SIPROJ -, y el Informe de Seguimiento Política Daño Antijurídico (SAIAS DE CONTRO"&amp;"L INTERNO No. 70124 Y 70125 respectivamente)")</f>
        <v>Se socializa con los miembros del Comité de Conciliación los resultados de los seguimientos realizados por Control Interno al Sistema de Información de Procesos Judiciales - SIPROJ -, y el Informe de Seguimiento Política Daño Antijurídico (SAIAS DE CONTROL INTERNO No. 70124 Y 70125 respectivamente)</v>
      </c>
      <c r="T20" s="11"/>
      <c r="U20" s="10"/>
    </row>
    <row r="21" spans="1:21" ht="37.5" customHeight="1" x14ac:dyDescent="0.2">
      <c r="A21" s="10" t="str">
        <f ca="1">IFERROR(__xludf.DUMMYFUNCTION("""COMPUTED_VALUE"""),"Gestión con valores para resultados")</f>
        <v>Gestión con valores para resultados</v>
      </c>
      <c r="B21" s="10" t="str">
        <f ca="1">IFERROR(__xludf.DUMMYFUNCTION("""COMPUTED_VALUE"""),"Defensa Jurídica")</f>
        <v>Defensa Jurídica</v>
      </c>
      <c r="C21" s="10" t="str">
        <f ca="1">IFERROR(__xludf.DUMMYFUNCTION("""COMPUTED_VALUE"""),"La entidad hace seguimiento al plan de accion y al(los) indicador(es) formulado(s) en sus políticas de prevención del daño antijurídico.")</f>
        <v>La entidad hace seguimiento al plan de accion y al(los) indicador(es) formulado(s) en sus políticas de prevención del daño antijurídico.</v>
      </c>
      <c r="D21" s="10" t="str">
        <f ca="1">IFERROR(__xludf.DUMMYFUNCTION("""COMPUTED_VALUE"""),"Realización del estudio de nuevas fórmulas de conciliación para actualizar la directriz de conciliación temprana vigente que ha adoptado el Comité de Conciliación y que permitan disminuir el daño antijurídico y el detrimento patrimonial a la entidad terri"&amp;"torial, por medio de la actualización Directriz Conciliación Temprana - Contrato Realidad.")</f>
        <v>Realización del estudio de nuevas fórmulas de conciliación para actualizar la directriz de conciliación temprana vigente que ha adoptado el Comité de Conciliación y que permitan disminuir el daño antijurídico y el detrimento patrimonial a la entidad territorial, por medio de la actualización Directriz Conciliación Temprana - Contrato Realidad.</v>
      </c>
      <c r="E21" s="10" t="str">
        <f ca="1">IFERROR(__xludf.DUMMYFUNCTION("""COMPUTED_VALUE"""),"Directriz de Conciliación Temprana Actualizada y adoptada por el Comité de Conciliación")</f>
        <v>Directriz de Conciliación Temprana Actualizada y adoptada por el Comité de Conciliación</v>
      </c>
      <c r="F21" s="11">
        <f ca="1">IFERROR(__xludf.DUMMYFUNCTION("""COMPUTED_VALUE"""),44562)</f>
        <v>44562</v>
      </c>
      <c r="G21" s="11">
        <f ca="1">IFERROR(__xludf.DUMMYFUNCTION("""COMPUTED_VALUE"""),44926)</f>
        <v>44926</v>
      </c>
      <c r="H21" s="10" t="str">
        <f ca="1">IFERROR(__xludf.DUMMYFUNCTION("""COMPUTED_VALUE"""),"Comité de Conciliación y abogados contratistas especializados, apoderados en los procesos judiciales de la entidad")</f>
        <v>Comité de Conciliación y abogados contratistas especializados, apoderados en los procesos judiciales de la entidad</v>
      </c>
      <c r="I21" s="12">
        <f ca="1">IFERROR(__xludf.DUMMYFUNCTION("""COMPUTED_VALUE"""),0.9)</f>
        <v>0.9</v>
      </c>
      <c r="J21" s="10" t="str">
        <f ca="1">IFERROR(__xludf.DUMMYFUNCTION("""COMPUTED_VALUE"""),"Circular del 19 de enero de 2022 - ACTUALIZACIÓN DE LOS MARGENES DEL VALOR DE LA CONCILIACIÓN A PROPONER POR PARTE DEL MUNICIPIO, ESTABLECIDOS EN LA DIRECTRIZ DE CONCILIACIÓN TEMPRANA EN CONTRATO REALIDAD -, socializada con el Comité de Conciliación media"&amp;"nte SAIA No. 1806 del 18 de enero de 2022 y expuesta en sesión del diecinueve (19) de enero de dos mil veintidós (2022), compartida en DRIVE con el equipo de defensa jurídica. - Se encuentra en estructuración actualización de la directriz - SANCIÓN MORATO"&amp;"RIA POR EL PAGO TARDÍO DE CESANTÍAS -.")</f>
        <v>Circular del 19 de enero de 2022 - ACTUALIZACIÓN DE LOS MARGENES DEL VALOR DE LA CONCILIACIÓN A PROPONER POR PARTE DEL MUNICIPIO, ESTABLECIDOS EN LA DIRECTRIZ DE CONCILIACIÓN TEMPRANA EN CONTRATO REALIDAD -, socializada con el Comité de Conciliación mediante SAIA No. 1806 del 18 de enero de 2022 y expuesta en sesión del diecinueve (19) de enero de dos mil veintidós (2022), compartida en DRIVE con el equipo de defensa jurídica. - Se encuentra en estructuración actualización de la directriz - SANCIÓN MORATORIA POR EL PAGO TARDÍO DE CESANTÍAS -.</v>
      </c>
      <c r="K21" s="11"/>
      <c r="L21" s="12">
        <f ca="1">IFERROR(__xludf.DUMMYFUNCTION("""COMPUTED_VALUE"""),0.9)</f>
        <v>0.9</v>
      </c>
      <c r="M21" s="10" t="str">
        <f ca="1">IFERROR(__xludf.DUMMYFUNCTION("""COMPUTED_VALUE"""),"Circular del 19 de enero de 2022 - ACTUALIZACIÓN DE LOS MARGENES DEL VALOR DE LA CONCILIACIÓN A PROPONER POR PARTE DEL MUNICIPIO, ESTABLECIDOS EN LA DIRECTRIZ DE CONCILIACIÓN TEMPRANA EN CONTRATO REALIDAD -, socializada con el Comité de Conciliación media"&amp;"nte SAIA No. 1806 del 18 de enero de 2022 y expuesta en sesión del diecinueve (19) de enero de dos mil veintidós (2022), compartida en DRIVE con el equipo de defensa jurídica. - Se encuentra en estructuración actualización de la directriz - SANCIÓN MORATO"&amp;"RIA POR EL PAGO TARDÍO DE CESANTÍAS -.")</f>
        <v>Circular del 19 de enero de 2022 - ACTUALIZACIÓN DE LOS MARGENES DEL VALOR DE LA CONCILIACIÓN A PROPONER POR PARTE DEL MUNICIPIO, ESTABLECIDOS EN LA DIRECTRIZ DE CONCILIACIÓN TEMPRANA EN CONTRATO REALIDAD -, socializada con el Comité de Conciliación mediante SAIA No. 1806 del 18 de enero de 2022 y expuesta en sesión del diecinueve (19) de enero de dos mil veintidós (2022), compartida en DRIVE con el equipo de defensa jurídica. - Se encuentra en estructuración actualización de la directriz - SANCIÓN MORATORIA POR EL PAGO TARDÍO DE CESANTÍAS -.</v>
      </c>
      <c r="N21" s="11"/>
      <c r="O21" s="12">
        <f ca="1">IFERROR(__xludf.DUMMYFUNCTION("""COMPUTED_VALUE"""),0.95)</f>
        <v>0.95</v>
      </c>
      <c r="P21" s="10" t="str">
        <f ca="1">IFERROR(__xludf.DUMMYFUNCTION("""COMPUTED_VALUE"""),"Con el objeto de disminuir el daño antijurídico y evitar el detrimento patrimonial a la entidad territorial, mediante comunicación No. 44477 del 18 de agosto dirigida a todo el equipo de defensa jurídica de la secretaría juridica, se impartieron instrucci"&amp;"ones respecto a la Circular No.01 - LIQUIDACIÓN Y PAGO
PRESTACIONES SOCIALES, INTERRUPCIÓN SANCIÓN MORATORIA -; No. 46043 - DIRECTRICES RESPUESTA A PETICIONES EXTERNAS Y CUENTAS DE COBRO.
")</f>
        <v xml:space="preserve">Con el objeto de disminuir el daño antijurídico y evitar el detrimento patrimonial a la entidad territorial, mediante comunicación No. 44477 del 18 de agosto dirigida a todo el equipo de defensa jurídica de la secretaría juridica, se impartieron instrucciones respecto a la Circular No.01 - LIQUIDACIÓN Y PAGO
PRESTACIONES SOCIALES, INTERRUPCIÓN SANCIÓN MORATORIA -; No. 46043 - DIRECTRICES RESPUESTA A PETICIONES EXTERNAS Y CUENTAS DE COBRO.
</v>
      </c>
      <c r="Q21" s="11"/>
      <c r="R21" s="12">
        <f ca="1">IFERROR(__xludf.DUMMYFUNCTION("""COMPUTED_VALUE"""),1)</f>
        <v>1</v>
      </c>
      <c r="S21" s="10" t="str">
        <f ca="1">IFERROR(__xludf.DUMMYFUNCTION("""COMPUTED_VALUE"""),"SAIA No. No. 55700 del 05 de octubre dirigido a la abogada MARTHA BELTRAN impartiendo directrices respecto a los procesos administrativos EJ que se adelantan en la CARDER y cuya representación esta a su cargo.")</f>
        <v>SAIA No. No. 55700 del 05 de octubre dirigido a la abogada MARTHA BELTRAN impartiendo directrices respecto a los procesos administrativos EJ que se adelantan en la CARDER y cuya representación esta a su cargo.</v>
      </c>
      <c r="T21" s="11"/>
      <c r="U21" s="10"/>
    </row>
    <row r="22" spans="1:21" ht="37.5" customHeight="1" x14ac:dyDescent="0.2">
      <c r="A22" s="10" t="str">
        <f ca="1">IFERROR(__xludf.DUMMYFUNCTION("""COMPUTED_VALUE"""),"Gestión con valores para resultados")</f>
        <v>Gestión con valores para resultados</v>
      </c>
      <c r="B22" s="10" t="str">
        <f ca="1">IFERROR(__xludf.DUMMYFUNCTION("""COMPUTED_VALUE"""),"Defensa Jurídica")</f>
        <v>Defensa Jurídica</v>
      </c>
      <c r="C22" s="10" t="str">
        <f ca="1">IFERROR(__xludf.DUMMYFUNCTION("""COMPUTED_VALUE"""),"El area mide y evalua los resultados periodicamente de sus indicadores que miden la eficiencia, eficacia y efectividad de las politicas realizadas en materia de defensa juridica.")</f>
        <v>El area mide y evalua los resultados periodicamente de sus indicadores que miden la eficiencia, eficacia y efectividad de las politicas realizadas en materia de defensa juridica.</v>
      </c>
      <c r="D22" s="10" t="str">
        <f ca="1">IFERROR(__xludf.DUMMYFUNCTION("""COMPUTED_VALUE"""),"Aplicación de los autodiagnósticos que arrojan los estudios jurídicos realizados con los apoderados judiciales en relación con cada medio de control en aras de disminuir el índice de demandas y condenas a la Entidad de acuerdo a: causas generadoras de dem"&amp;"anda (fácticas) y razones del juez para condenar al municipio (legales), que tienen por evidencia las actas de reunión con sus observaciones.")</f>
        <v>Aplicación de los autodiagnósticos que arrojan los estudios jurídicos realizados con los apoderados judiciales en relación con cada medio de control en aras de disminuir el índice de demandas y condenas a la Entidad de acuerdo a: causas generadoras de demanda (fácticas) y razones del juez para condenar al municipio (legales), que tienen por evidencia las actas de reunión con sus observaciones.</v>
      </c>
      <c r="E22" s="10" t="str">
        <f ca="1">IFERROR(__xludf.DUMMYFUNCTION("""COMPUTED_VALUE"""),"(N° de mesas de trabajo realizadas en el periodo con los apoderados judiciales de la administración / 4) * 100")</f>
        <v>(N° de mesas de trabajo realizadas en el periodo con los apoderados judiciales de la administración / 4) * 100</v>
      </c>
      <c r="F22" s="11">
        <f ca="1">IFERROR(__xludf.DUMMYFUNCTION("""COMPUTED_VALUE"""),44562)</f>
        <v>44562</v>
      </c>
      <c r="G22" s="11">
        <f ca="1">IFERROR(__xludf.DUMMYFUNCTION("""COMPUTED_VALUE"""),44926)</f>
        <v>44926</v>
      </c>
      <c r="H22" s="10" t="str">
        <f ca="1">IFERROR(__xludf.DUMMYFUNCTION("""COMPUTED_VALUE"""),"Directora de Defensa Jurídica y 16 abogados contratistas especializados, apoderados en los procesos judiciales de la entidad")</f>
        <v>Directora de Defensa Jurídica y 16 abogados contratistas especializados, apoderados en los procesos judiciales de la entidad</v>
      </c>
      <c r="I22" s="12">
        <f ca="1">IFERROR(__xludf.DUMMYFUNCTION("""COMPUTED_VALUE"""),1)</f>
        <v>1</v>
      </c>
      <c r="J22" s="10" t="str">
        <f ca="1">IFERROR(__xludf.DUMMYFUNCTION("""COMPUTED_VALUE"""),"1. El 07 de marzo de 2022 a partir de las 9:00 a.m. en el 9° piso de la entidad se reunió todo el equipo de Defensa Jurídica con el objeto de socializar informe de la Dirección y como secretaria técnica del comité de conciliación el informe que se rindió "&amp;"al comité mediante SAIA No. 2982 del 25 de enero de 2022 – COMITÉ ORDINARIO DEL 26 DE ENERO DE 2022 -. 2. SAIA No. 10582 del 02 de marzo de 2022 - INSTRUCCIONES CERTIFICADO PAZ Y SALVO SIPROJ - CAPACITACIÓN SIPROJ mediante la cual se convoca a una capacit"&amp;"ación que se llevará a cabo el día miércoles 9 de marzo a las 2:00 P.M. por medio del siguiente link https://meet.google.com/xxr-uzuv-vrj, con el objeto de garantizar la actualización SIPROJ, en materia de acciones de tutela para dar aplicación a la polít"&amp;"ica de prevención del daño antijurídico.
 3. SAIA No. 5789 Se convoca a mesa a los abogados contratistas HOMEL CARMONA GUTIERREZ, JHON ALEJANDRO GARCIA RIVERA, JULIO CESAR SERNA BRITO y RODRIGO ANDRES MEDINA DIAZ para el día miércoles 24 de febrero a las "&amp;"10:00 am en la secretaria jurídica para generar una línea de defensa en el desarrollo de las restituciones de inmueble arrendado que fueron asignadas. 4. Reunión del 24 de febrero de 2022 reunión con los abogados contratistas HOMEL CARMONA GUTIERREZ, JHON"&amp;" ALEJANDRO GARCIA RIVERA, JULIO CESAR SERNA BRITO y RODRIGO ANDRES MEDINA DIAZ para revisar planteamientos para implementar directrices en las acciones populares de barreras de accesibilidad.")</f>
        <v>1. El 07 de marzo de 2022 a partir de las 9:00 a.m. en el 9° piso de la entidad se reunió todo el equipo de Defensa Jurídica con el objeto de socializar informe de la Dirección y como secretaria técnica del comité de conciliación el informe que se rindió al comité mediante SAIA No. 2982 del 25 de enero de 2022 – COMITÉ ORDINARIO DEL 26 DE ENERO DE 2022 -. 2. SAIA No. 10582 del 02 de marzo de 2022 - INSTRUCCIONES CERTIFICADO PAZ Y SALVO SIPROJ - CAPACITACIÓN SIPROJ mediante la cual se convoca a una capacitación que se llevará a cabo el día miércoles 9 de marzo a las 2:00 P.M. por medio del siguiente link https://meet.google.com/xxr-uzuv-vrj, con el objeto de garantizar la actualización SIPROJ, en materia de acciones de tutela para dar aplicación a la política de prevención del daño antijurídico.
 3. SAIA No. 5789 Se convoca a mesa a los abogados contratistas HOMEL CARMONA GUTIERREZ, JHON ALEJANDRO GARCIA RIVERA, JULIO CESAR SERNA BRITO y RODRIGO ANDRES MEDINA DIAZ para el día miércoles 24 de febrero a las 10:00 am en la secretaria jurídica para generar una línea de defensa en el desarrollo de las restituciones de inmueble arrendado que fueron asignadas. 4. Reunión del 24 de febrero de 2022 reunión con los abogados contratistas HOMEL CARMONA GUTIERREZ, JHON ALEJANDRO GARCIA RIVERA, JULIO CESAR SERNA BRITO y RODRIGO ANDRES MEDINA DIAZ para revisar planteamientos para implementar directrices en las acciones populares de barreras de accesibilidad.</v>
      </c>
      <c r="K22" s="11"/>
      <c r="L22" s="12">
        <f ca="1">IFERROR(__xludf.DUMMYFUNCTION("""COMPUTED_VALUE"""),1)</f>
        <v>1</v>
      </c>
      <c r="M22" s="10" t="str">
        <f ca="1">IFERROR(__xludf.DUMMYFUNCTION("""COMPUTED_VALUE"""),"1. El 07 de marzo de 2022 a partir de las 9:00 a.m. en el 9° piso de la entidad se reunió todo el equipo de Defensa Jurídica con el objeto de socializar informe de la Dirección y como secretaria técnica del comité de conciliación el informe que se rindió "&amp;"al comité mediante SAIA No. 2982 del 25 de enero de 2022 – COMITÉ ORDINARIO DEL 26 DE ENERO DE 2022 -.
 2. SAIA No. 10582 del 02 de marzo de 2022 - INSTRUCCIONES CERTIFICADO PAZ Y SALVO SIPROJ - CAPACITACIÓN SIPROJ mediante la cual se convoca a una capaci"&amp;"tación que se llevará a cabo el día miércoles 9 de marzo a las 2:00 P.M. por medio del siguiente link https://meet.google.com/xxr-uzuv-vrj, con el objeto de garantizar la actualización SIPROJ, en materia de acciones de tutela para dar aplicación a la polí"&amp;"tica de prevención del daño antijurídico.
 3. SAIA No. 5789 Se convoca a mesa a los abogados contratistas HOMEL CARMONA GUTIERREZ, JHON ALEJANDRO GARCIA RIVERA, JULIO CESAR SERNA BRITO y RODRIGO ANDRES MEDINA DIAZ para el día miércoles 24 de febrero a las"&amp;" 10:00 am en la secretaria jurídica para generar una línea de defensa en el desarrollo de las restituciones de inmueble arrendado que fueron asignadas. 4. Reunión del 24 de febrero de 2022 reunión con los abogados contratistas HOMEL CARMONA GUTIERREZ, JHO"&amp;"N ALEJANDRO GARCIA RIVERA, JULIO CESAR SERNA BRITO y RODRIGO ANDRES MEDINA DIAZ para revisar planteamientos para implementar directrices en las acciones populares de barreras de accesibilidad.")</f>
        <v>1. El 07 de marzo de 2022 a partir de las 9:00 a.m. en el 9° piso de la entidad se reunió todo el equipo de Defensa Jurídica con el objeto de socializar informe de la Dirección y como secretaria técnica del comité de conciliación el informe que se rindió al comité mediante SAIA No. 2982 del 25 de enero de 2022 – COMITÉ ORDINARIO DEL 26 DE ENERO DE 2022 -.
 2. SAIA No. 10582 del 02 de marzo de 2022 - INSTRUCCIONES CERTIFICADO PAZ Y SALVO SIPROJ - CAPACITACIÓN SIPROJ mediante la cual se convoca a una capacitación que se llevará a cabo el día miércoles 9 de marzo a las 2:00 P.M. por medio del siguiente link https://meet.google.com/xxr-uzuv-vrj, con el objeto de garantizar la actualización SIPROJ, en materia de acciones de tutela para dar aplicación a la política de prevención del daño antijurídico.
 3. SAIA No. 5789 Se convoca a mesa a los abogados contratistas HOMEL CARMONA GUTIERREZ, JHON ALEJANDRO GARCIA RIVERA, JULIO CESAR SERNA BRITO y RODRIGO ANDRES MEDINA DIAZ para el día miércoles 24 de febrero a las 10:00 am en la secretaria jurídica para generar una línea de defensa en el desarrollo de las restituciones de inmueble arrendado que fueron asignadas. 4. Reunión del 24 de febrero de 2022 reunión con los abogados contratistas HOMEL CARMONA GUTIERREZ, JHON ALEJANDRO GARCIA RIVERA, JULIO CESAR SERNA BRITO y RODRIGO ANDRES MEDINA DIAZ para revisar planteamientos para implementar directrices en las acciones populares de barreras de accesibilidad.</v>
      </c>
      <c r="N22" s="11"/>
      <c r="O22" s="12">
        <f ca="1">IFERROR(__xludf.DUMMYFUNCTION("""COMPUTED_VALUE"""),1)</f>
        <v>1</v>
      </c>
      <c r="P22" s="10" t="str">
        <f ca="1">IFERROR(__xludf.DUMMYFUNCTION("""COMPUTED_VALUE"""),"Comunicación SAIA No. 52259 de septiembre 22 convocando a todo el equipo de abogados de la Dirección de Defensa con el objeto de capacitarlos en la rendición del informe de provisiones judiciales; así mismo durante el periodo se realizaron distintas mesas"&amp;" de trabajo SAIAS No. 53448 Convoca a mesa de trabajo previa a comité de verificación acción popular Radicado N° 2010-00587, 50935 Citación mesa de trabajo popular 2022-00252, 50509 Citación mesa de trabajo acción popular radicado N° 2022-00018, 48509 Cit"&amp;"ación mesa de trabajo acción popular radicado N° 2022-00129, 45518 Citación mesa de trabajo acción Popular 2012-00011, entre otras, las cuales se evidencian en la plataforma SAIA en el momento en que dispongan ejercicio de seguimiento y/o auditoria.
")</f>
        <v xml:space="preserve">Comunicación SAIA No. 52259 de septiembre 22 convocando a todo el equipo de abogados de la Dirección de Defensa con el objeto de capacitarlos en la rendición del informe de provisiones judiciales; así mismo durante el periodo se realizaron distintas mesas de trabajo SAIAS No. 53448 Convoca a mesa de trabajo previa a comité de verificación acción popular Radicado N° 2010-00587, 50935 Citación mesa de trabajo popular 2022-00252, 50509 Citación mesa de trabajo acción popular radicado N° 2022-00018, 48509 Citación mesa de trabajo acción popular radicado N° 2022-00129, 45518 Citación mesa de trabajo acción Popular 2012-00011, entre otras, las cuales se evidencian en la plataforma SAIA en el momento en que dispongan ejercicio de seguimiento y/o auditoria.
</v>
      </c>
      <c r="Q22" s="11"/>
      <c r="R22" s="12">
        <f ca="1">IFERROR(__xludf.DUMMYFUNCTION("""COMPUTED_VALUE"""),1)</f>
        <v>1</v>
      </c>
      <c r="S22" s="10" t="str">
        <f ca="1">IFERROR(__xludf.DUMMYFUNCTION("""COMPUTED_VALUE"""),"SAIA No. 57370 del 11 de octubre de 2022 se informa a la Dirección de bienes inmuebles respecto de las “acciones que se han adelantado para avanzar y el estado en que se encuentran los procesos judiciales de restitución de MERCASA”; Circular No. 337 del 1"&amp;"4 de octubre de 2022 - Directriz Información organismos de control; SAIA No. No. 62005 del 25 de octubre de 2022 dirigido al Consejo Seccional de la Judicatura - Reiteración correo oficial para notificaciones judiciales -. ")</f>
        <v xml:space="preserve">SAIA No. 57370 del 11 de octubre de 2022 se informa a la Dirección de bienes inmuebles respecto de las “acciones que se han adelantado para avanzar y el estado en que se encuentran los procesos judiciales de restitución de MERCASA”; Circular No. 337 del 14 de octubre de 2022 - Directriz Información organismos de control; SAIA No. No. 62005 del 25 de octubre de 2022 dirigido al Consejo Seccional de la Judicatura - Reiteración correo oficial para notificaciones judiciales -. </v>
      </c>
      <c r="T22" s="11"/>
      <c r="U22" s="10"/>
    </row>
    <row r="23" spans="1:21" ht="37.5" customHeight="1" x14ac:dyDescent="0.2">
      <c r="A23" s="10" t="str">
        <f ca="1">IFERROR(__xludf.DUMMYFUNCTION("""COMPUTED_VALUE"""),"Gestión con valores para resultados")</f>
        <v>Gestión con valores para resultados</v>
      </c>
      <c r="B23" s="10" t="str">
        <f ca="1">IFERROR(__xludf.DUMMYFUNCTION("""COMPUTED_VALUE"""),"Defensa Jurídica")</f>
        <v>Defensa Jurídica</v>
      </c>
      <c r="C23" s="10" t="str">
        <f ca="1">IFERROR(__xludf.DUMMYFUNCTION("""COMPUTED_VALUE"""),"El area mide y evalua los resultados periodicamente de sus indicadores que miden la eficiencia, eficacia y efectividad de las politicas realizadas en materia de defensa juridica.")</f>
        <v>El area mide y evalua los resultados periodicamente de sus indicadores que miden la eficiencia, eficacia y efectividad de las politicas realizadas en materia de defensa juridica.</v>
      </c>
      <c r="D23" s="10" t="str">
        <f ca="1">IFERROR(__xludf.DUMMYFUNCTION("""COMPUTED_VALUE"""),"Socialización con las Secretarías de la entidad de las medidas administrativas adoptadas que resulten de las mesas de trabajo realizadas con los profesionales de la Dirección de Defensa Jurídica del municipio. Quedan como evidencia las actas de reuniones,"&amp;" directrices y circulares.")</f>
        <v>Socialización con las Secretarías de la entidad de las medidas administrativas adoptadas que resulten de las mesas de trabajo realizadas con los profesionales de la Dirección de Defensa Jurídica del municipio. Quedan como evidencia las actas de reuniones, directrices y circulares.</v>
      </c>
      <c r="E23" s="10" t="str">
        <f ca="1">IFERROR(__xludf.DUMMYFUNCTION("""COMPUTED_VALUE"""),"No. de directrices o circulares emitidas desde la Dirección de Defensa Jurídica / No. de directrices o circulares socializadas * 100")</f>
        <v>No. de directrices o circulares emitidas desde la Dirección de Defensa Jurídica / No. de directrices o circulares socializadas * 100</v>
      </c>
      <c r="F23" s="11">
        <f ca="1">IFERROR(__xludf.DUMMYFUNCTION("""COMPUTED_VALUE"""),44562)</f>
        <v>44562</v>
      </c>
      <c r="G23" s="11">
        <f ca="1">IFERROR(__xludf.DUMMYFUNCTION("""COMPUTED_VALUE"""),44926)</f>
        <v>44926</v>
      </c>
      <c r="H23" s="10" t="str">
        <f ca="1">IFERROR(__xludf.DUMMYFUNCTION("""COMPUTED_VALUE"""),"Directora de Defensa Jurídica y 2 abogados contratistas encargados del apoyo juridico-administrativo de la Dirección")</f>
        <v>Directora de Defensa Jurídica y 2 abogados contratistas encargados del apoyo juridico-administrativo de la Dirección</v>
      </c>
      <c r="I23" s="12">
        <f ca="1">IFERROR(__xludf.DUMMYFUNCTION("""COMPUTED_VALUE"""),1)</f>
        <v>1</v>
      </c>
      <c r="J23" s="10" t="str">
        <f ca="1">IFERROR(__xludf.DUMMYFUNCTION("""COMPUTED_VALUE"""),"Comunicación SAIA No. 183 del 04 de enero de 2022 - Atención Integral y Oportuna de las Acciones de Tutela Para Cumplimiento de la Política de Prevención del Daño antijurídico y el Manual de Procedimiento de Defensa de Tutelas –; SAIA No. 10582 del 02 de "&amp;"marzo de 2022 - INSTRUCCIONES CERTIFICADO PAZ Y SALVO SIPROJ - CAPACITACIÓN SIPROJ mediante la cual se convoca a una capacitación que se llevó a cabo el día miércoles 9 de marzo a las 2:00 P.M. por medio del siguiente link https://meet.google.com/xxr-uzuv"&amp;"-vrj, con el objeto de garantizar la actualización SIPROJ, en materia de acciones de tutela para dar aplicación a la política de prevención del daño antijurídico.
 El 07 de marzo de 2022 a partir de las 9:00 a.m. en el 9° piso de la entidad se reunió todo"&amp;" el equipo de Defensa Jurídica con el objeto de socializar informe de la Dirección y como secretaria técnica del comité de conciliación el informe que se rindió al comité mediante SAIA No. 2982 del 25 de enero de 2022 – COMITÉ ORDINARIO DEL 26 DE ENERO DE"&amp;" 2022 -.
 Comunicación No. 119 del 04 de enero de 2022 por medio del cual se reitera el correo oficial de notificaciones judiciales al CSJ para que sea socializado con los despachos judiciales. Circular del 04 de enero de 2022 reinterando instrucciones re"&amp;"specto a la asistencia a audiencias en procesos Ordinario Laboral y Acción Popular, socializada mediante SAIA No. No. 631 del 07 de enero de 2022.")</f>
        <v>Comunicación SAIA No. 183 del 04 de enero de 2022 - Atención Integral y Oportuna de las Acciones de Tutela Para Cumplimiento de la Política de Prevención del Daño antijurídico y el Manual de Procedimiento de Defensa de Tutelas –; SAIA No. 10582 del 02 de marzo de 2022 - INSTRUCCIONES CERTIFICADO PAZ Y SALVO SIPROJ - CAPACITACIÓN SIPROJ mediante la cual se convoca a una capacitación que se llevó a cabo el día miércoles 9 de marzo a las 2:00 P.M. por medio del siguiente link https://meet.google.com/xxr-uzuv-vrj, con el objeto de garantizar la actualización SIPROJ, en materia de acciones de tutela para dar aplicación a la política de prevención del daño antijurídico.
 El 07 de marzo de 2022 a partir de las 9:00 a.m. en el 9° piso de la entidad se reunió todo el equipo de Defensa Jurídica con el objeto de socializar informe de la Dirección y como secretaria técnica del comité de conciliación el informe que se rindió al comité mediante SAIA No. 2982 del 25 de enero de 2022 – COMITÉ ORDINARIO DEL 26 DE ENERO DE 2022 -.
 Comunicación No. 119 del 04 de enero de 2022 por medio del cual se reitera el correo oficial de notificaciones judiciales al CSJ para que sea socializado con los despachos judiciales. Circular del 04 de enero de 2022 reinterando instrucciones respecto a la asistencia a audiencias en procesos Ordinario Laboral y Acción Popular, socializada mediante SAIA No. No. 631 del 07 de enero de 2022.</v>
      </c>
      <c r="K23" s="11"/>
      <c r="L23" s="12">
        <f ca="1">IFERROR(__xludf.DUMMYFUNCTION("""COMPUTED_VALUE"""),1)</f>
        <v>1</v>
      </c>
      <c r="M23" s="10" t="str">
        <f ca="1">IFERROR(__xludf.DUMMYFUNCTION("""COMPUTED_VALUE"""),"Comunicación SAIA No. 183 del 04 de enero de 2022 - Atención Integral y Oportuna de las Acciones de Tutela Para Cumplimiento de la Política de Prevención del Daño antijurídico y el Manual de Procedimiento de Defensa de Tutelas –; SAIA No. 10582 del 02 de "&amp;"marzo de 2022 - INSTRUCCIONES CERTIFICADO PAZ Y SALVO SIPROJ - CAPACITACIÓN SIPROJ mediante la cual se convoca a una capacitación que se llevó a cabo el día miércoles 9 de marzo a las 2:00 P.M. por medio del siguiente link https://meet.google.com/xxr-uzuv"&amp;"-vrj, con el objeto de garantizar la actualización SIPROJ, en materia de acciones de tutela para dar aplicación a la política de prevención del daño antijurídico.
 El 07 de marzo de 2022 a partir de las 9:00 a.m. en el 9° piso de la entidad se reunió todo"&amp;" el equipo de Defensa Jurídica con el objeto de socializar informe de la Dirección y como secretaria técnica del comité de conciliación el informe que se rindió al comité mediante SAIA No. 2982 del 25 de enero de 2022 – COMITÉ ORDINARIO DEL 26 DE ENERO DE"&amp;" 2022 -.
 Comunicación No. 119 del 04 de enero de 2022 por medio del cual se reitera el correo oficial de notificaciones judiciales al CSJ para que sea socializado con los despachos judiciales. Circular del 04 de enero de 2022 reinterando instrucciones re"&amp;"specto a la asistencia a audiencias en procesos Ordinario Laboral y Acción Popular, socializada mediante SAIA No. No. 631 del 07 de enero de 2022.")</f>
        <v>Comunicación SAIA No. 183 del 04 de enero de 2022 - Atención Integral y Oportuna de las Acciones de Tutela Para Cumplimiento de la Política de Prevención del Daño antijurídico y el Manual de Procedimiento de Defensa de Tutelas –; SAIA No. 10582 del 02 de marzo de 2022 - INSTRUCCIONES CERTIFICADO PAZ Y SALVO SIPROJ - CAPACITACIÓN SIPROJ mediante la cual se convoca a una capacitación que se llevó a cabo el día miércoles 9 de marzo a las 2:00 P.M. por medio del siguiente link https://meet.google.com/xxr-uzuv-vrj, con el objeto de garantizar la actualización SIPROJ, en materia de acciones de tutela para dar aplicación a la política de prevención del daño antijurídico.
 El 07 de marzo de 2022 a partir de las 9:00 a.m. en el 9° piso de la entidad se reunió todo el equipo de Defensa Jurídica con el objeto de socializar informe de la Dirección y como secretaria técnica del comité de conciliación el informe que se rindió al comité mediante SAIA No. 2982 del 25 de enero de 2022 – COMITÉ ORDINARIO DEL 26 DE ENERO DE 2022 -.
 Comunicación No. 119 del 04 de enero de 2022 por medio del cual se reitera el correo oficial de notificaciones judiciales al CSJ para que sea socializado con los despachos judiciales. Circular del 04 de enero de 2022 reinterando instrucciones respecto a la asistencia a audiencias en procesos Ordinario Laboral y Acción Popular, socializada mediante SAIA No. No. 631 del 07 de enero de 2022.</v>
      </c>
      <c r="N23" s="11"/>
      <c r="O23" s="12">
        <f ca="1">IFERROR(__xludf.DUMMYFUNCTION("""COMPUTED_VALUE"""),1)</f>
        <v>1</v>
      </c>
      <c r="P23" s="10" t="str">
        <f ca="1">IFERROR(__xludf.DUMMYFUNCTION("""COMPUTED_VALUE"""),"Comunicación SAIA No. 45380 DIRECTRIZ MPUGNACIÓN ACCIONES DE TUTELA Y ACTUALIZACIÓN DEL SIPROJ; 53448 - Convoca a mesa de trabajo previa a comité de verificación acción popular Radicado N° 2010-00587; 48509 - Citación mesa de trabajo acción popular radica"&amp;"do N° 2022-00129")</f>
        <v>Comunicación SAIA No. 45380 DIRECTRIZ MPUGNACIÓN ACCIONES DE TUTELA Y ACTUALIZACIÓN DEL SIPROJ; 53448 - Convoca a mesa de trabajo previa a comité de verificación acción popular Radicado N° 2010-00587; 48509 - Citación mesa de trabajo acción popular radicado N° 2022-00129</v>
      </c>
      <c r="Q23" s="11"/>
      <c r="R23" s="12">
        <f ca="1">IFERROR(__xludf.DUMMYFUNCTION("""COMPUTED_VALUE"""),1)</f>
        <v>1</v>
      </c>
      <c r="S23" s="10" t="str">
        <f ca="1">IFERROR(__xludf.DUMMYFUNCTION("""COMPUTED_VALUE"""),"SAIA No. No. 55700 del 05 de octubre dirigido a la abogada MARTHA BELTRAN impartiendo directrices respecto a los procesos administrativos EJ que se adelantan en la CARDER y cuya representación esta a su cargo.")</f>
        <v>SAIA No. No. 55700 del 05 de octubre dirigido a la abogada MARTHA BELTRAN impartiendo directrices respecto a los procesos administrativos EJ que se adelantan en la CARDER y cuya representación esta a su cargo.</v>
      </c>
      <c r="T23" s="11"/>
      <c r="U23" s="10"/>
    </row>
    <row r="24" spans="1:21" ht="37.5" customHeight="1" x14ac:dyDescent="0.2">
      <c r="A24" s="10" t="str">
        <f ca="1">IFERROR(__xludf.DUMMYFUNCTION("""COMPUTED_VALUE"""),"Gestión con valores para resultados")</f>
        <v>Gestión con valores para resultados</v>
      </c>
      <c r="B24" s="10" t="str">
        <f ca="1">IFERROR(__xludf.DUMMYFUNCTION("""COMPUTED_VALUE"""),"Defensa Jurídica")</f>
        <v>Defensa Jurídica</v>
      </c>
      <c r="C24" s="10" t="str">
        <f ca="1">IFERROR(__xludf.DUMMYFUNCTION("""COMPUTED_VALUE"""),"El area mide y evalua los resultados periodicamente de sus indicadores que miden la eficiencia, eficacia y efectividad de las politicas realizadas en materia de defensa juridica.")</f>
        <v>El area mide y evalua los resultados periodicamente de sus indicadores que miden la eficiencia, eficacia y efectividad de las politicas realizadas en materia de defensa juridica.</v>
      </c>
      <c r="D24" s="10" t="str">
        <f ca="1">IFERROR(__xludf.DUMMYFUNCTION("""COMPUTED_VALUE"""),"Ejecución de la Auditoría al usuario de SIPROJ para verificar la asignación de apoderado a los procesos judiciales, la digitalización de las actuaciones procesales para garantizar la veracidad de la información que registra el Sistema de Información de Pr"&amp;"ocesos Judiciales; de conformidad con la obligación contractual contenida en los contratos de prestación de servicio profesional de los abogados, mediante informes de procesos por abogado, emitidos por el SIPROJ e informes tomados de la herramienta INFOJU"&amp;"DICIAL.")</f>
        <v>Ejecución de la Auditoría al usuario de SIPROJ para verificar la asignación de apoderado a los procesos judiciales, la digitalización de las actuaciones procesales para garantizar la veracidad de la información que registra el Sistema de Información de Procesos Judiciales; de conformidad con la obligación contractual contenida en los contratos de prestación de servicio profesional de los abogados, mediante informes de procesos por abogado, emitidos por el SIPROJ e informes tomados de la herramienta INFOJUDICIAL.</v>
      </c>
      <c r="E24" s="10" t="str">
        <f ca="1">IFERROR(__xludf.DUMMYFUNCTION("""COMPUTED_VALUE"""),"100%")</f>
        <v>100%</v>
      </c>
      <c r="F24" s="11">
        <f ca="1">IFERROR(__xludf.DUMMYFUNCTION("""COMPUTED_VALUE"""),44562)</f>
        <v>44562</v>
      </c>
      <c r="G24" s="11">
        <f ca="1">IFERROR(__xludf.DUMMYFUNCTION("""COMPUTED_VALUE"""),44926)</f>
        <v>44926</v>
      </c>
      <c r="H24" s="10" t="str">
        <f ca="1">IFERROR(__xludf.DUMMYFUNCTION("""COMPUTED_VALUE"""),"Dirección de Defensa, 1 Profesional Especializado y 2 contratistas de apoyo")</f>
        <v>Dirección de Defensa, 1 Profesional Especializado y 2 contratistas de apoyo</v>
      </c>
      <c r="I24" s="12">
        <f ca="1">IFERROR(__xludf.DUMMYFUNCTION("""COMPUTED_VALUE"""),1)</f>
        <v>1</v>
      </c>
      <c r="J24" s="10" t="str">
        <f ca="1">IFERROR(__xludf.DUMMYFUNCTION("""COMPUTED_VALUE"""),"Se realiza permanente revisión de los procesos judiciales en los cuales el Municipio hace parte, con el fin de garantizar la defensa técnica en todos los procesos y detectar los que estando ya terminados y/o archivados, aún aparecen activos en el Siproj; "&amp;"Se coordina con los contratistas INFOJUDICIAL, VANESA GOMEZ ACEVEDO y ANDRES RODRIGUEZ PUERTA adelantar la revisión del inventario de procesos asignados a los apoderados del municipio de Pereira, realizando el seguimiento al estado de los procesos que tie"&amp;"nen a su cargo en las plataformas de consulta procesal (SIPROJ-WEB, INFOJUDICIAL), revisando la debida asignación de la defensa técnica y actualización permanente de las actuaciones por parte de los apoderados; en el periodo se continua revisando el Inven"&amp;"tario de Procesos Judiciales que fue normalizado en Sistemas Integrados en la Vigencia 2020 con el fin de tener un mayor control, el cual es confrontado con el SIPROJ, en el ejercicio de auditoria permanente, y para poder otorgar el paz y salvo que se exp"&amp;"ide para el tramité de las respectivas cuentas de cobro mensuales.")</f>
        <v>Se realiza permanente revisión de los procesos judiciales en los cuales el Municipio hace parte, con el fin de garantizar la defensa técnica en todos los procesos y detectar los que estando ya terminados y/o archivados, aún aparecen activos en el Siproj; Se coordina con los contratistas INFOJUDICIAL, VANESA GOMEZ ACEVEDO y ANDRES RODRIGUEZ PUERTA adelantar la revisión del inventario de procesos asignados a los apoderados del municipio de Pereira, realizando el seguimiento al estado de los procesos que tienen a su cargo en las plataformas de consulta procesal (SIPROJ-WEB, INFOJUDICIAL), revisando la debida asignación de la defensa técnica y actualización permanente de las actuaciones por parte de los apoderados; en el periodo se continua revisando el Inventario de Procesos Judiciales que fue normalizado en Sistemas Integrados en la Vigencia 2020 con el fin de tener un mayor control, el cual es confrontado con el SIPROJ, en el ejercicio de auditoria permanente, y para poder otorgar el paz y salvo que se expide para el tramité de las respectivas cuentas de cobro mensuales.</v>
      </c>
      <c r="K24" s="11"/>
      <c r="L24" s="12">
        <f ca="1">IFERROR(__xludf.DUMMYFUNCTION("""COMPUTED_VALUE"""),1)</f>
        <v>1</v>
      </c>
      <c r="M24" s="10" t="str">
        <f ca="1">IFERROR(__xludf.DUMMYFUNCTION("""COMPUTED_VALUE"""),"Se realiza permanente revisión de los procesos judiciales en los cuales el Municipio hace parte, con el fin de garantizar la defensa técnica en todos los procesos y detectar los que estando ya terminados y/o archivados, aún aparecen activos en el Siproj; "&amp;"Se coordina con los contratistas INFOJUDICIAL, VANESA GOMEZ ACEVEDO y ANDRES RODRIGUEZ PUERTA adelantar la revisión del inventario de procesos asignados a los apoderados del municipio de Pereira, realizando el seguimiento al estado de los procesos que tie"&amp;"nen a su cargo en las plataformas de consulta procesal (SIPROJ-WEB, INFOJUDICIAL), revisando la debida asignación de la defensa técnica y actualización permanente de las actuaciones por parte de los apoderados; en el periodo se continua revisando el Inven"&amp;"tario de Procesos Judiciales que fue normalizado en Sistemas Integrados en la Vigencia 2020 con el fin de tener un mayor control, el cual es confrontado con el SIPROJ, en el ejercicio de auditoria permanente, y para poder otorgar el paz y salvo que se exp"&amp;"ide para el tramité de las respectivas cuentas de cobro mensuales.")</f>
        <v>Se realiza permanente revisión de los procesos judiciales en los cuales el Municipio hace parte, con el fin de garantizar la defensa técnica en todos los procesos y detectar los que estando ya terminados y/o archivados, aún aparecen activos en el Siproj; Se coordina con los contratistas INFOJUDICIAL, VANESA GOMEZ ACEVEDO y ANDRES RODRIGUEZ PUERTA adelantar la revisión del inventario de procesos asignados a los apoderados del municipio de Pereira, realizando el seguimiento al estado de los procesos que tienen a su cargo en las plataformas de consulta procesal (SIPROJ-WEB, INFOJUDICIAL), revisando la debida asignación de la defensa técnica y actualización permanente de las actuaciones por parte de los apoderados; en el periodo se continua revisando el Inventario de Procesos Judiciales que fue normalizado en Sistemas Integrados en la Vigencia 2020 con el fin de tener un mayor control, el cual es confrontado con el SIPROJ, en el ejercicio de auditoria permanente, y para poder otorgar el paz y salvo que se expide para el tramité de las respectivas cuentas de cobro mensuales.</v>
      </c>
      <c r="N24" s="11"/>
      <c r="O24" s="12">
        <f ca="1">IFERROR(__xludf.DUMMYFUNCTION("""COMPUTED_VALUE"""),1)</f>
        <v>1</v>
      </c>
      <c r="P24" s="10" t="str">
        <f ca="1">IFERROR(__xludf.DUMMYFUNCTION("""COMPUTED_VALUE"""),"Se continua realizando permanente revisión de los procesos judiciales en los cuales el Municipio hace parte, con el fin de garantizar la defensa técnica en todos los procesos y detectar los que estando ya terminados y/o archivados, aún aparecen activos en"&amp;" el Siproj; Se coordina con los contratistas INFOJUDICIAL, VANESA GOMEZ ACEVEDO y ANDRES RODRIGUEZ PUERTA  adelantar la revisión del inventario de procesos asignados a los apoderados del municipio de Pereira, realizando el  seguimiento al estado de los pr"&amp;"ocesos que tienen a su cargo en las plataformas de consulta procesal (SIPROJ-WEB, INFOJUDICIAL), revisando la debida asignación de la defensa técnica y actualización permanente de las actuaciones por parte de los apoderados; en el periodo se continua revi"&amp;"sando el Inventario de Procesos Judiciales que fue normalizado en Sistemas Integrados en la Vigencia 2020 con el fin de tener un mayor control, el cual es confrontado con el SIPROJ, en el ejercicio de auditoria permanente, y para poder otorgar el paz y sa"&amp;"lvo que se expide para el tramité de las respectivas cuentas de cobro mensuales.")</f>
        <v>Se continua realizando permanente revisión de los procesos judiciales en los cuales el Municipio hace parte, con el fin de garantizar la defensa técnica en todos los procesos y detectar los que estando ya terminados y/o archivados, aún aparecen activos en el Siproj; Se coordina con los contratistas INFOJUDICIAL, VANESA GOMEZ ACEVEDO y ANDRES RODRIGUEZ PUERTA  adelantar la revisión del inventario de procesos asignados a los apoderados del municipio de Pereira, realizando el  seguimiento al estado de los procesos que tienen a su cargo en las plataformas de consulta procesal (SIPROJ-WEB, INFOJUDICIAL), revisando la debida asignación de la defensa técnica y actualización permanente de las actuaciones por parte de los apoderados; en el periodo se continua revisando el Inventario de Procesos Judiciales que fue normalizado en Sistemas Integrados en la Vigencia 2020 con el fin de tener un mayor control, el cual es confrontado con el SIPROJ, en el ejercicio de auditoria permanente, y para poder otorgar el paz y salvo que se expide para el tramité de las respectivas cuentas de cobro mensuales.</v>
      </c>
      <c r="Q24" s="11"/>
      <c r="R24" s="12">
        <f ca="1">IFERROR(__xludf.DUMMYFUNCTION("""COMPUTED_VALUE"""),1)</f>
        <v>1</v>
      </c>
      <c r="S24" s="10" t="str">
        <f ca="1">IFERROR(__xludf.DUMMYFUNCTION("""COMPUTED_VALUE"""),"Se continua realizando permanente revisión de los procesos judiciales en los cuales el Municipio hace parte, con el fin de garantizar la defensa técnica en todos los procesos y detectar los que estando ya terminados y/o archivados, aún aparecen activos en"&amp;" el Siproj; Se coordina con los contratistas INFOJUDICIAL, VANESA GOMEZ ACEVEDO y ANDRES RODRIGUEZ PUERTA  adelantar la revisión del inventario de procesos asignados a los apoderados del municipio de Pereira, realizando el  seguimiento al estado de los pr"&amp;"ocesos que tienen a su cargo en las plataformas de consulta procesal (SIPROJ-WEB, INFOJUDICIAL), revisando la debida asignación de la defensa técnica y actualización permanente de las actuaciones por parte de los apoderados; en el periodo se continua revi"&amp;"sando el Inventario de Procesos Judiciales que fue normalizado en Sistemas Integrados en la Vigencia 2020 con el fin de tener un mayor control, el cual es confrontado con el SIPROJ, en el ejercicio de auditoria permanente, y para poder otorgar el paz y sa"&amp;"lvo que se expide para el tramité de las respectivas cuentas de cobro mensuales.")</f>
        <v>Se continua realizando permanente revisión de los procesos judiciales en los cuales el Municipio hace parte, con el fin de garantizar la defensa técnica en todos los procesos y detectar los que estando ya terminados y/o archivados, aún aparecen activos en el Siproj; Se coordina con los contratistas INFOJUDICIAL, VANESA GOMEZ ACEVEDO y ANDRES RODRIGUEZ PUERTA  adelantar la revisión del inventario de procesos asignados a los apoderados del municipio de Pereira, realizando el  seguimiento al estado de los procesos que tienen a su cargo en las plataformas de consulta procesal (SIPROJ-WEB, INFOJUDICIAL), revisando la debida asignación de la defensa técnica y actualización permanente de las actuaciones por parte de los apoderados; en el periodo se continua revisando el Inventario de Procesos Judiciales que fue normalizado en Sistemas Integrados en la Vigencia 2020 con el fin de tener un mayor control, el cual es confrontado con el SIPROJ, en el ejercicio de auditoria permanente, y para poder otorgar el paz y salvo que se expide para el tramité de las respectivas cuentas de cobro mensuales.</v>
      </c>
      <c r="T24" s="11"/>
      <c r="U24" s="10"/>
    </row>
    <row r="25" spans="1:21" ht="37.5" customHeight="1" x14ac:dyDescent="0.2">
      <c r="A25" s="10" t="str">
        <f ca="1">IFERROR(__xludf.DUMMYFUNCTION("""COMPUTED_VALUE"""),"Gestión con valores para resultados")</f>
        <v>Gestión con valores para resultados</v>
      </c>
      <c r="B25" s="10" t="str">
        <f ca="1">IFERROR(__xludf.DUMMYFUNCTION("""COMPUTED_VALUE"""),"Defensa Jurídica")</f>
        <v>Defensa Jurídica</v>
      </c>
      <c r="C25" s="10" t="str">
        <f ca="1">IFERROR(__xludf.DUMMYFUNCTION("""COMPUTED_VALUE"""),"El comité de conciliación tiene indicadores y conoce el resultado de la medición de los indicadores de acuerdo con la periodicidad definida en el plan anual del comité de conciliación")</f>
        <v>El comité de conciliación tiene indicadores y conoce el resultado de la medición de los indicadores de acuerdo con la periodicidad definida en el plan anual del comité de conciliación</v>
      </c>
      <c r="D25" s="10" t="str">
        <f ca="1">IFERROR(__xludf.DUMMYFUNCTION("""COMPUTED_VALUE"""),"Socialización y seguimiento del reglamento interno del Comité de Conciliación, Decreto Municipal 443 del 12 de Junio de 2019, que contiene las disposiciones relacionadas con su composición y regulación para garantizar su normal funcionamiento, adoptado co"&amp;"mo herramienta de gestión para el cumplimiento de sus funciones y la toma de decisiones de conformidad con lo establecido en el Decreto 1069 de 2015 y Decreto 1167 de 2016")</f>
        <v>Socialización y seguimiento del reglamento interno del Comité de Conciliación, Decreto Municipal 443 del 12 de Junio de 2019, que contiene las disposiciones relacionadas con su composición y regulación para garantizar su normal funcionamiento, adoptado como herramienta de gestión para el cumplimiento de sus funciones y la toma de decisiones de conformidad con lo establecido en el Decreto 1069 de 2015 y Decreto 1167 de 2016</v>
      </c>
      <c r="E25" s="10" t="str">
        <f ca="1">IFERROR(__xludf.DUMMYFUNCTION("""COMPUTED_VALUE"""),"Una actividad ejecutada al 100%")</f>
        <v>Una actividad ejecutada al 100%</v>
      </c>
      <c r="F25" s="11">
        <f ca="1">IFERROR(__xludf.DUMMYFUNCTION("""COMPUTED_VALUE"""),44562)</f>
        <v>44562</v>
      </c>
      <c r="G25" s="11">
        <f ca="1">IFERROR(__xludf.DUMMYFUNCTION("""COMPUTED_VALUE"""),44926)</f>
        <v>44926</v>
      </c>
      <c r="H25" s="10" t="str">
        <f ca="1">IFERROR(__xludf.DUMMYFUNCTION("""COMPUTED_VALUE"""),"Comité de Conciliación y un tecnólogo contratista encargado del apoyo administrativo de la Direccion de -defensa")</f>
        <v>Comité de Conciliación y un tecnólogo contratista encargado del apoyo administrativo de la Direccion de -defensa</v>
      </c>
      <c r="I25" s="12">
        <f ca="1">IFERROR(__xludf.DUMMYFUNCTION("""COMPUTED_VALUE"""),1)</f>
        <v>1</v>
      </c>
      <c r="J25" s="10" t="str">
        <f ca="1">IFERROR(__xludf.DUMMYFUNCTION("""COMPUTED_VALUE"""),"Comunicación SAIA No. 2982 del 25 de enero de 2022 se socializó informe de gestión del Comité de Conciliación vigencia 2021 el cual fue presentado en sesión ordinaria del veintiséis (26) de enero de dos mil veintidós (2022).")</f>
        <v>Comunicación SAIA No. 2982 del 25 de enero de 2022 se socializó informe de gestión del Comité de Conciliación vigencia 2021 el cual fue presentado en sesión ordinaria del veintiséis (26) de enero de dos mil veintidós (2022).</v>
      </c>
      <c r="K25" s="11"/>
      <c r="L25" s="12">
        <f ca="1">IFERROR(__xludf.DUMMYFUNCTION("""COMPUTED_VALUE"""),1)</f>
        <v>1</v>
      </c>
      <c r="M25" s="10" t="str">
        <f ca="1">IFERROR(__xludf.DUMMYFUNCTION("""COMPUTED_VALUE"""),"Comunicación SAIA No. 2982 del 25 de enero de 2022 se socializó informe de gestión del Comité de Conciliación vigencia 2021 el cual fue presentado en sesión ordinaria del veintiséis (26) de enero de dos mil veintidós (2022).")</f>
        <v>Comunicación SAIA No. 2982 del 25 de enero de 2022 se socializó informe de gestión del Comité de Conciliación vigencia 2021 el cual fue presentado en sesión ordinaria del veintiséis (26) de enero de dos mil veintidós (2022).</v>
      </c>
      <c r="N25" s="11"/>
      <c r="O25" s="12">
        <f ca="1">IFERROR(__xludf.DUMMYFUNCTION("""COMPUTED_VALUE"""),1)</f>
        <v>1</v>
      </c>
      <c r="P25" s="10" t="str">
        <f ca="1">IFERROR(__xludf.DUMMYFUNCTION("""COMPUTED_VALUE"""),"Mediante comunicación SAIA No. 47802 del 05 de septiembre se convoco a Comité Ordinario de Conciliación a celebrarse el siete (07) de septiembre de dos mil veintidós (2022) a las 7:00 a.m. a través de: https://meet.google.com/enr-jiuk-cvq , en cuyo orden "&amp;"del día se desarrolló socialización de informe primer semestre vigencia 2022 de actuaciones del comité de conciliación.")</f>
        <v>Mediante comunicación SAIA No. 47802 del 05 de septiembre se convoco a Comité Ordinario de Conciliación a celebrarse el siete (07) de septiembre de dos mil veintidós (2022) a las 7:00 a.m. a través de: https://meet.google.com/enr-jiuk-cvq , en cuyo orden del día se desarrolló socialización de informe primer semestre vigencia 2022 de actuaciones del comité de conciliación.</v>
      </c>
      <c r="Q25" s="11"/>
      <c r="R25" s="12">
        <f ca="1">IFERROR(__xludf.DUMMYFUNCTION("""COMPUTED_VALUE"""),1)</f>
        <v>1</v>
      </c>
      <c r="S25" s="10" t="str">
        <f ca="1">IFERROR(__xludf.DUMMYFUNCTION("""COMPUTED_VALUE"""),"Se socializa con los miembros del Comité de Conciliación los resultados de los seguimientos realizados por Control Interno al Sistema de Información de Procesos Judiciales - SIPROJ -, y el Informe de Seguimiento Política Daño Antijurídico (SAIAS DE CONTRO"&amp;"L INTERNO No. 70124 Y 70125 respectivamente)")</f>
        <v>Se socializa con los miembros del Comité de Conciliación los resultados de los seguimientos realizados por Control Interno al Sistema de Información de Procesos Judiciales - SIPROJ -, y el Informe de Seguimiento Política Daño Antijurídico (SAIAS DE CONTROL INTERNO No. 70124 Y 70125 respectivamente)</v>
      </c>
      <c r="T25" s="11"/>
      <c r="U25" s="10"/>
    </row>
    <row r="26" spans="1:21" ht="37.5" customHeight="1" x14ac:dyDescent="0.2">
      <c r="A26" s="10" t="str">
        <f ca="1">IFERROR(__xludf.DUMMYFUNCTION("""COMPUTED_VALUE"""),"Gestión con valores para resultados")</f>
        <v>Gestión con valores para resultados</v>
      </c>
      <c r="B26" s="10" t="str">
        <f ca="1">IFERROR(__xludf.DUMMYFUNCTION("""COMPUTED_VALUE"""),"Defensa Jurídica")</f>
        <v>Defensa Jurídica</v>
      </c>
      <c r="C26" s="10" t="str">
        <f ca="1">IFERROR(__xludf.DUMMYFUNCTION("""COMPUTED_VALUE"""),"El comité de conciliación tiene definidas actividades en el plan de acción anual para medir la eficiencia de la gestión en materia de implementación de la conciliación, mide la eficiencia de la conciliación, la eficacia de la conciliación, el ahorro patri"&amp;"monial y la efectividad de las decisiones del comité de conciliación.")</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D26" s="10" t="str">
        <f ca="1">IFERROR(__xludf.DUMMYFUNCTION("""COMPUTED_VALUE"""),"Realización de estudios jurídicos y análisis de casos relevantes seleccionados de la totalidad de procesos judiciales en los cuales la entidad territorial es parte; determinando las causas de demanda en contra de la entidad se formularán nuevas estrategia"&amp;"s de defensa como insumo para el seguimiento de la política de prevención del daño antijurídico y sus futuras actualizaciones, quedando como evidencia las actas de reunión y los informes de casos relevantes.")</f>
        <v>Realización de estudios jurídicos y análisis de casos relevantes seleccionados de la totalidad de procesos judiciales en los cuales la entidad territorial es parte; determinando las causas de demanda en contra de la entidad se formularán nuevas estrategias de defensa como insumo para el seguimiento de la política de prevención del daño antijurídico y sus futuras actualizaciones, quedando como evidencia las actas de reunión y los informes de casos relevantes.</v>
      </c>
      <c r="E26" s="10" t="str">
        <f ca="1">IFERROR(__xludf.DUMMYFUNCTION("""COMPUTED_VALUE"""),"Actividad ejecutada al 100%, según lo requerido")</f>
        <v>Actividad ejecutada al 100%, según lo requerido</v>
      </c>
      <c r="F26" s="11">
        <f ca="1">IFERROR(__xludf.DUMMYFUNCTION("""COMPUTED_VALUE"""),44562)</f>
        <v>44562</v>
      </c>
      <c r="G26" s="11">
        <f ca="1">IFERROR(__xludf.DUMMYFUNCTION("""COMPUTED_VALUE"""),44926)</f>
        <v>44926</v>
      </c>
      <c r="H26" s="10" t="str">
        <f ca="1">IFERROR(__xludf.DUMMYFUNCTION("""COMPUTED_VALUE"""),"Directora de Defensa Jurídica y 23 abogados contratistas especializados, apoderados en los procesos judiciales de la entidad.")</f>
        <v>Directora de Defensa Jurídica y 23 abogados contratistas especializados, apoderados en los procesos judiciales de la entidad.</v>
      </c>
      <c r="I26" s="12">
        <f ca="1">IFERROR(__xludf.DUMMYFUNCTION("""COMPUTED_VALUE"""),1)</f>
        <v>1</v>
      </c>
      <c r="J26" s="10" t="str">
        <f ca="1">IFERROR(__xludf.DUMMYFUNCTION("""COMPUTED_VALUE"""),"• Se ha informado a los abogados que las actuaciones a realizar relacionadas con los casos relevantes deben ser estudiadas en mesa de trabajo con la Secretaria Jurídica y la Directora de Defensa Jurídica como son apelaciones o formulas de conciliación pre"&amp;"vio a sometimiento al Comité.
 • Se realiza revisión mensual del inventario de procesos judiciales implementado por la Dirección de Defensa Jurídica, en el cual los abogados contratistas en la Dirección deben actualizar el estado de sus procesos incluidos"&amp;" los casos relevantes y se verifica lo reportado sea igual a los que aparecen en el Sistema de Información de Procesos Judiciales SIPROJ y además de ello que todas las actuaciones estén debidamente cargas en la plataforma.")</f>
        <v>• Se ha informado a los abogados que las actuaciones a realizar relacionadas con los casos relevantes deben ser estudiadas en mesa de trabajo con la Secretaria Jurídica y la Directora de Defensa Jurídica como son apelaciones o formulas de conciliación previo a sometimiento al Comité.
 • Se realiza revisión mensual del inventario de procesos judiciales implementado por la Dirección de Defensa Jurídica, en el cual los abogados contratistas en la Dirección deben actualizar el estado de sus procesos incluidos los casos relevantes y se verifica lo reportado sea igual a los que aparecen en el Sistema de Información de Procesos Judiciales SIPROJ y además de ello que todas las actuaciones estén debidamente cargas en la plataforma.</v>
      </c>
      <c r="K26" s="11"/>
      <c r="L26" s="12">
        <f ca="1">IFERROR(__xludf.DUMMYFUNCTION("""COMPUTED_VALUE"""),1)</f>
        <v>1</v>
      </c>
      <c r="M26" s="10" t="str">
        <f ca="1">IFERROR(__xludf.DUMMYFUNCTION("""COMPUTED_VALUE"""),"• Se ha informado a los abogados que las actuaciones a realizar relacionadas con los casos relevantes deben ser estudiadas en mesa de trabajo con la Secretaria Jurídica y la Directora de Defensa Jurídica como son apelaciones o formulas de conciliación pre"&amp;"vio a sometimiento al Comité.
 • Se realiza revisión mensual del inventario de procesos judiciales implementado por la Dirección de Defensa Jurídica, en el cual los abogados contratistas en la Dirección deben actualizar el estado de sus procesos incluid"&amp;"os los casos relevantes y se verifica lo reportado sea igual a los que aparecen en el Sistema de Información de Procesos Judiciales SIPROJ y además de ello que todas las actuaciones estén debidamente cargas en la plataforma.")</f>
        <v>• Se ha informado a los abogados que las actuaciones a realizar relacionadas con los casos relevantes deben ser estudiadas en mesa de trabajo con la Secretaria Jurídica y la Directora de Defensa Jurídica como son apelaciones o formulas de conciliación previo a sometimiento al Comité.
 • Se realiza revisión mensual del inventario de procesos judiciales implementado por la Dirección de Defensa Jurídica, en el cual los abogados contratistas en la Dirección deben actualizar el estado de sus procesos incluidos los casos relevantes y se verifica lo reportado sea igual a los que aparecen en el Sistema de Información de Procesos Judiciales SIPROJ y además de ello que todas las actuaciones estén debidamente cargas en la plataforma.</v>
      </c>
      <c r="N26" s="11"/>
      <c r="O26" s="12">
        <f ca="1">IFERROR(__xludf.DUMMYFUNCTION("""COMPUTED_VALUE"""),1)</f>
        <v>1</v>
      </c>
      <c r="P26" s="10" t="str">
        <f ca="1">IFERROR(__xludf.DUMMYFUNCTION("""COMPUTED_VALUE"""),"• Se ha informado a los abogados que las actuaciones a realizar relacionadas con los casos relevantes deben ser estudiadas en mesa de trabajo con la Secretaria Jurídica y la Directora de Defensa Jurídica como son apelaciones o formulas de conciliación pre"&amp;"vio a sometimiento al Comité. Comunicación SAIA No. 45380 DIRECTRIZ MPUGNACIÓN ACCIONES DE TUTELA Y ACTUALIZACIÓN DEL SIPROJ.
• Se realiza revisión mensual del inventario de procesos judiciales implementado por la Dirección de Defensa Jurídica, en el cua"&amp;"l los abogados contratistas en la Dirección deben actualizar el estado de sus procesos incluidos los casos relevantes y se verifica lo reportado sea igual a los que aparecen en el Sistema de Información de Procesos Judiciales SIPROJ y además de ello que t"&amp;"odas las actuaciones estén debidamente cargas en la plataforma. ")</f>
        <v xml:space="preserve">• Se ha informado a los abogados que las actuaciones a realizar relacionadas con los casos relevantes deben ser estudiadas en mesa de trabajo con la Secretaria Jurídica y la Directora de Defensa Jurídica como son apelaciones o formulas de conciliación previo a sometimiento al Comité. Comunicación SAIA No. 45380 DIRECTRIZ MPUGNACIÓN ACCIONES DE TUTELA Y ACTUALIZACIÓN DEL SIPROJ.
• Se realiza revisión mensual del inventario de procesos judiciales implementado por la Dirección de Defensa Jurídica, en el cual los abogados contratistas en la Dirección deben actualizar el estado de sus procesos incluidos los casos relevantes y se verifica lo reportado sea igual a los que aparecen en el Sistema de Información de Procesos Judiciales SIPROJ y además de ello que todas las actuaciones estén debidamente cargas en la plataforma. </v>
      </c>
      <c r="Q26" s="11"/>
      <c r="R26" s="12">
        <f ca="1">IFERROR(__xludf.DUMMYFUNCTION("""COMPUTED_VALUE"""),1)</f>
        <v>1</v>
      </c>
      <c r="S26" s="10" t="str">
        <f ca="1">IFERROR(__xludf.DUMMYFUNCTION("""COMPUTED_VALUE"""),"• Se ha informado a los abogados que las actuaciones a realizar relacionadas con los casos relevantes deben ser estudiadas en mesa de trabajo con la Secretaria Jurídica y la Directora de Defensa Jurídica como son apelaciones o formulas de conciliación pre"&amp;"vio a sometimiento al Comité. En cada Sesión Ordinaria o Extraordinaria del Comité de Conciliación, los apoderados judiciales exponen las fichas prejudiciales, judiciales, extrajudiciales o para aplicación de principio de oportunidad y de acciones de repe"&amp;"tición, en las cuales se realiza una descripción detallada de cada caso en concreto, si opera o no caducidad, pretensiones, hechos relevantes del expediente, antecedentes jurisprudenciales y del Comité de Conciliación y presentan sus recomendaciones, las "&amp;"cuales son deliberadas y decididas por los Secretarios de Despacho, vale anotar que las convocatorias al Comité se realizan oficialmente a través del SAIA y constan en las actas y fichas registradas en el Sistema de Información de Procesos Judiciales -SIP"&amp;"ROJ-, el resultado de cada sesión.
• Se realiza revisión mensual del inventario de procesos judiciales implementado por la Dirección de Defensa Jurídica, en el cual los abogados contratistas en la Dirección deben actualizar el estado de sus procesos incl"&amp;"uidos los casos relevantes y se verifica lo reportado sea igual a los que aparecen en el Sistema de Información de Procesos Judiciales SIPROJ y además de ello que todas las actuaciones estén debidamente cargas en la plataforma. ")</f>
        <v xml:space="preserve">• Se ha informado a los abogados que las actuaciones a realizar relacionadas con los casos relevantes deben ser estudiadas en mesa de trabajo con la Secretaria Jurídica y la Directora de Defensa Jurídica como son apelaciones o formulas de conciliación previo a sometimiento al Comité. En cada Sesión Ordinaria o Extraordinaria del Comité de Conciliación, los apoderados judiciales exponen las fichas prejudiciales, judiciales, extrajudiciales o para aplicación de principio de oportunidad y de acciones de repetición, en las cuales se realiza una descripción detallada de cada caso en concreto, si opera o no caducidad, pretensiones, hechos relevantes del expediente, antecedentes jurisprudenciales y del Comité de Conciliación y presentan sus recomendaciones, las cuales son deliberadas y decididas por los Secretarios de Despacho, vale anotar que las convocatorias al Comité se realizan oficialmente a través del SAIA y constan en las actas y fichas registradas en el Sistema de Información de Procesos Judiciales -SIPROJ-, el resultado de cada sesión.
• Se realiza revisión mensual del inventario de procesos judiciales implementado por la Dirección de Defensa Jurídica, en el cual los abogados contratistas en la Dirección deben actualizar el estado de sus procesos incluidos los casos relevantes y se verifica lo reportado sea igual a los que aparecen en el Sistema de Información de Procesos Judiciales SIPROJ y además de ello que todas las actuaciones estén debidamente cargas en la plataforma. </v>
      </c>
      <c r="T26" s="11"/>
      <c r="U26" s="10"/>
    </row>
    <row r="27" spans="1:21" ht="37.5" customHeight="1" x14ac:dyDescent="0.2">
      <c r="A27" s="10" t="str">
        <f ca="1">IFERROR(__xludf.DUMMYFUNCTION("""COMPUTED_VALUE"""),"Gestión con valores para resultados")</f>
        <v>Gestión con valores para resultados</v>
      </c>
      <c r="B27" s="10" t="str">
        <f ca="1">IFERROR(__xludf.DUMMYFUNCTION("""COMPUTED_VALUE"""),"Defensa Jurídica")</f>
        <v>Defensa Jurídica</v>
      </c>
      <c r="C27" s="10" t="str">
        <f ca="1">IFERROR(__xludf.DUMMYFUNCTION("""COMPUTED_VALUE"""),"El comité de conciliación tiene definidas actividades en el plan de acción anual para medir la eficiencia de la gestión en materia de implementación de la conciliación, mide la eficiencia de la conciliación, la eficacia de la conciliación, el ahorro patri"&amp;"monial y la efectividad de las decisiones del comité de conciliación.")</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D27" s="10" t="str">
        <f ca="1">IFERROR(__xludf.DUMMYFUNCTION("""COMPUTED_VALUE"""),"Estructuración del Banco de Jurisprudencia de la entidad, a partir del análisis de las sentencias y demás pronunciamientos emitidos por los despachos judiciales en relación con los procesos en los cuales la entidad territorial ha hecho parte, igualmente l"&amp;"a jurisprudencia en general que emiten las altas instancias judiciales de las diferentes jurisdicciones, la cual servirá como precedente para el ejercicio de defensa jurídica por parte del apoderado del proceso, información que reposará en el Banco de Jur"&amp;"isprudencia de la Entidad, debidamente adoptado mediante acto administrativo y publicado.")</f>
        <v>Estructuración del Banco de Jurisprudencia de la entidad, a partir del análisis de las sentencias y demás pronunciamientos emitidos por los despachos judiciales en relación con los procesos en los cuales la entidad territorial ha hecho parte, igualmente la jurisprudencia en general que emiten las altas instancias judiciales de las diferentes jurisdicciones, la cual servirá como precedente para el ejercicio de defensa jurídica por parte del apoderado del proceso, información que reposará en el Banco de Jurisprudencia de la Entidad, debidamente adoptado mediante acto administrativo y publicado.</v>
      </c>
      <c r="E27" s="10" t="str">
        <f ca="1">IFERROR(__xludf.DUMMYFUNCTION("""COMPUTED_VALUE"""),"(N° de sentencias en el banco jurisprudencial del SIPROJ / 50) * 100")</f>
        <v>(N° de sentencias en el banco jurisprudencial del SIPROJ / 50) * 100</v>
      </c>
      <c r="F27" s="11">
        <f ca="1">IFERROR(__xludf.DUMMYFUNCTION("""COMPUTED_VALUE"""),44562)</f>
        <v>44562</v>
      </c>
      <c r="G27" s="11">
        <f ca="1">IFERROR(__xludf.DUMMYFUNCTION("""COMPUTED_VALUE"""),44926)</f>
        <v>44926</v>
      </c>
      <c r="H27" s="10" t="str">
        <f ca="1">IFERROR(__xludf.DUMMYFUNCTION("""COMPUTED_VALUE"""),"Directora de Defensa Jurídica y 16 abogados contratistas especializados, apoderados en los procesos judiciales de la entidad 2 abogados contratistas y un tecnólogo contratista, encargados de apoyar las actividades juridico-administrativas de la Dirección")</f>
        <v>Directora de Defensa Jurídica y 16 abogados contratistas especializados, apoderados en los procesos judiciales de la entidad 2 abogados contratistas y un tecnólogo contratista, encargados de apoyar las actividades juridico-administrativas de la Dirección</v>
      </c>
      <c r="I27" s="12">
        <f ca="1">IFERROR(__xludf.DUMMYFUNCTION("""COMPUTED_VALUE"""),0.82)</f>
        <v>0.82</v>
      </c>
      <c r="J27" s="10" t="str">
        <f ca="1">IFERROR(__xludf.DUMMYFUNCTION("""COMPUTED_VALUE"""),"Los abogados de la Dirección de Defensa Jurídica tienen la directriz de seleccionar las sentencias que consideren un precedente importante para la defensa jurídica de la entidad, se dispone actualmente de un Drive denominado - Banco de Jurisprudencia - co"&amp;"n acceso al equipo de Defensa Jurídica, el cual se alimenta con las sentencias más relevantes que sirvan de insumo para la defensa técnica por parte de los apoderados, a la fecha de reporte el Drive se compone de (41) cuarenta y un sentencias en las cuale"&amp;"s se incluyo sentencias de cierre de incidentes de desacato en acciones populares.")</f>
        <v>Los abogados de la Dirección de Defensa Jurídica tienen la directriz de seleccionar las sentencias que consideren un precedente importante para la defensa jurídica de la entidad, se dispone actualmente de un Drive denominado - Banco de Jurisprudencia - con acceso al equipo de Defensa Jurídica, el cual se alimenta con las sentencias más relevantes que sirvan de insumo para la defensa técnica por parte de los apoderados, a la fecha de reporte el Drive se compone de (41) cuarenta y un sentencias en las cuales se incluyo sentencias de cierre de incidentes de desacato en acciones populares.</v>
      </c>
      <c r="K27" s="11"/>
      <c r="L27" s="12">
        <f ca="1">IFERROR(__xludf.DUMMYFUNCTION("""COMPUTED_VALUE"""),0.82)</f>
        <v>0.82</v>
      </c>
      <c r="M27" s="10" t="str">
        <f ca="1">IFERROR(__xludf.DUMMYFUNCTION("""COMPUTED_VALUE"""),"Los abogados de la Dirección de Defensa Jurídica tienen la directriz de seleccionar las sentencias que consideren un precedente importante para la defensa jurídica de la entidad, se dispone actualmente de un Drive denominado - Banco de Jurisprudencia - co"&amp;"n acceso al equipo de Defensa Jurídica, el cual se alimenta con las sentencias más relevantes que sirvan de insumo para la defensa técnica por parte de los apoderados, a la fecha de reporte el Drive se compone de (41) cuarenta y un sentencias en las cuale"&amp;"s se incluyo sentencias de cierre de incidentes de desacato en acciones populares.")</f>
        <v>Los abogados de la Dirección de Defensa Jurídica tienen la directriz de seleccionar las sentencias que consideren un precedente importante para la defensa jurídica de la entidad, se dispone actualmente de un Drive denominado - Banco de Jurisprudencia - con acceso al equipo de Defensa Jurídica, el cual se alimenta con las sentencias más relevantes que sirvan de insumo para la defensa técnica por parte de los apoderados, a la fecha de reporte el Drive se compone de (41) cuarenta y un sentencias en las cuales se incluyo sentencias de cierre de incidentes de desacato en acciones populares.</v>
      </c>
      <c r="N27" s="11"/>
      <c r="O27" s="12">
        <f ca="1">IFERROR(__xludf.DUMMYFUNCTION("""COMPUTED_VALUE"""),1)</f>
        <v>1</v>
      </c>
      <c r="P27" s="10" t="str">
        <f ca="1">IFERROR(__xludf.DUMMYFUNCTION("""COMPUTED_VALUE"""),"Los abogados de la Dirección de Defensa Jurídica tienen la directriz de seleccionar las sentencias que consideren un precedente importante para la defensa jurídica de la entidad, se dispone actualmente de un Drive denominado - Banco de Jurisprudencia - co"&amp;"n acceso al equipo de Defensa Jurídica, el cual se alimenta con las sentencias más relevantes que sirvan de insumo para la defensa técnica por parte de los apoderados, a la fecha de reporte el Drive se compone de (53) cincuenta y tres sentencias en las cu"&amp;"ales se incluyo sentencias de cierre de incidentes de desacato en acciones populares, superando ya la meta propuesta para la vigencia.
")</f>
        <v xml:space="preserve">Los abogados de la Dirección de Defensa Jurídica tienen la directriz de seleccionar las sentencias que consideren un precedente importante para la defensa jurídica de la entidad, se dispone actualmente de un Drive denominado - Banco de Jurisprudencia - con acceso al equipo de Defensa Jurídica, el cual se alimenta con las sentencias más relevantes que sirvan de insumo para la defensa técnica por parte de los apoderados, a la fecha de reporte el Drive se compone de (53) cincuenta y tres sentencias en las cuales se incluyo sentencias de cierre de incidentes de desacato en acciones populares, superando ya la meta propuesta para la vigencia.
</v>
      </c>
      <c r="Q27" s="11"/>
      <c r="R27" s="12">
        <f ca="1">IFERROR(__xludf.DUMMYFUNCTION("""COMPUTED_VALUE"""),1)</f>
        <v>1</v>
      </c>
      <c r="S27" s="10" t="str">
        <f ca="1">IFERROR(__xludf.DUMMYFUNCTION("""COMPUTED_VALUE"""),"Los abogados de la Dirección de Defensa Jurídica tienen la directriz de seleccionar las sentencias que consideren un precedente importante para la defensa jurídica de la entidad, se dispone actualmente de un Drive denominado - Banco de Jurisprudencia - co"&amp;"n acceso al equipo de Defensa Jurídica, el cual se alimenta con las sentencias más relevantes que sirvan de insumo para la defensa técnica por parte de los apoderados, a la fecha de reporte el Drive se compone de (62) sesenta y dos sentencias en las cuale"&amp;"s se incluyo sentencias de cierre de incidentes de desacato en acciones populares, superando ya la meta propuesta para la vigencia.")</f>
        <v>Los abogados de la Dirección de Defensa Jurídica tienen la directriz de seleccionar las sentencias que consideren un precedente importante para la defensa jurídica de la entidad, se dispone actualmente de un Drive denominado - Banco de Jurisprudencia - con acceso al equipo de Defensa Jurídica, el cual se alimenta con las sentencias más relevantes que sirvan de insumo para la defensa técnica por parte de los apoderados, a la fecha de reporte el Drive se compone de (62) sesenta y dos sentencias en las cuales se incluyo sentencias de cierre de incidentes de desacato en acciones populares, superando ya la meta propuesta para la vigencia.</v>
      </c>
      <c r="T27" s="11"/>
      <c r="U27" s="10"/>
    </row>
    <row r="28" spans="1:21" ht="37.5" customHeight="1" x14ac:dyDescent="0.2">
      <c r="A28" s="10" t="str">
        <f ca="1">IFERROR(__xludf.DUMMYFUNCTION("""COMPUTED_VALUE"""),"Gestión con valores para resultados")</f>
        <v>Gestión con valores para resultados</v>
      </c>
      <c r="B28" s="10" t="str">
        <f ca="1">IFERROR(__xludf.DUMMYFUNCTION("""COMPUTED_VALUE"""),"Fortalecimiento Organizacional y Simplificación de Procesos")</f>
        <v>Fortalecimiento Organizacional y Simplificación de Procesos</v>
      </c>
      <c r="C28"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28" s="10" t="str">
        <f ca="1">IFERROR(__xludf.DUMMYFUNCTION("""COMPUTED_VALUE"""),"Informe de verificación anual de vidas útiles de los bienes muebles del municipio de Pereira.
")</f>
        <v xml:space="preserve">Informe de verificación anual de vidas útiles de los bienes muebles del municipio de Pereira.
</v>
      </c>
      <c r="E28" s="10" t="str">
        <f ca="1">IFERROR(__xludf.DUMMYFUNCTION("""COMPUTED_VALUE"""),"Informe de verificación anual  de vidas útiles de bienes del municipio de Pereira 100% elaborado.")</f>
        <v>Informe de verificación anual  de vidas útiles de bienes del municipio de Pereira 100% elaborado.</v>
      </c>
      <c r="F28" s="11">
        <f ca="1">IFERROR(__xludf.DUMMYFUNCTION("""COMPUTED_VALUE"""),44670)</f>
        <v>44670</v>
      </c>
      <c r="G28" s="11">
        <f ca="1">IFERROR(__xludf.DUMMYFUNCTION("""COMPUTED_VALUE"""),44926)</f>
        <v>44926</v>
      </c>
      <c r="H28" s="10" t="str">
        <f ca="1">IFERROR(__xludf.DUMMYFUNCTION("""COMPUTED_VALUE"""),"Director Administrativo de Bienes Muebles y Recursos Físicos 
")</f>
        <v xml:space="preserve">Director Administrativo de Bienes Muebles y Recursos Físicos 
</v>
      </c>
      <c r="I28" s="12">
        <f ca="1">IFERROR(__xludf.DUMMYFUNCTION("""COMPUTED_VALUE"""),0.36)</f>
        <v>0.36</v>
      </c>
      <c r="J28" s="10" t="str">
        <f ca="1">IFERROR(__xludf.DUMMYFUNCTION("""COMPUTED_VALUE"""),"INFORME EXCEL")</f>
        <v>INFORME EXCEL</v>
      </c>
      <c r="K28" s="11">
        <f ca="1">IFERROR(__xludf.DUMMYFUNCTION("""COMPUTED_VALUE"""),44650)</f>
        <v>44650</v>
      </c>
      <c r="L28" s="12">
        <f ca="1">IFERROR(__xludf.DUMMYFUNCTION("""COMPUTED_VALUE"""),0.5)</f>
        <v>0.5</v>
      </c>
      <c r="M28" s="10" t="str">
        <f ca="1">IFERROR(__xludf.DUMMYFUNCTION("""COMPUTED_VALUE"""),"INFORME EXCEL")</f>
        <v>INFORME EXCEL</v>
      </c>
      <c r="N28" s="11">
        <f ca="1">IFERROR(__xludf.DUMMYFUNCTION("""COMPUTED_VALUE"""),44742)</f>
        <v>44742</v>
      </c>
      <c r="O28" s="12">
        <f ca="1">IFERROR(__xludf.DUMMYFUNCTION("""COMPUTED_VALUE"""),0.6)</f>
        <v>0.6</v>
      </c>
      <c r="P28" s="10" t="str">
        <f ca="1">IFERROR(__xludf.DUMMYFUNCTION("""COMPUTED_VALUE"""),"Informe en frormato excel de verificación anual de vidas útiles de bienes del municipio de Pereira, elaborado por el Almacenista Cesar Augusto Marin.")</f>
        <v>Informe en frormato excel de verificación anual de vidas útiles de bienes del municipio de Pereira, elaborado por el Almacenista Cesar Augusto Marin.</v>
      </c>
      <c r="Q28" s="11">
        <f ca="1">IFERROR(__xludf.DUMMYFUNCTION("""COMPUTED_VALUE"""),44851)</f>
        <v>44851</v>
      </c>
      <c r="R28" s="12">
        <f ca="1">IFERROR(__xludf.DUMMYFUNCTION("""COMPUTED_VALUE"""),1)</f>
        <v>1</v>
      </c>
      <c r="S28" s="10" t="str">
        <f ca="1">IFERROR(__xludf.DUMMYFUNCTION("""COMPUTED_VALUE"""),"Informe en frormato excel de verificación anual de vidas útiles de bienes del municipio de Pereira, elaborado por el Almacenista Cesar Augusto Marin.")</f>
        <v>Informe en frormato excel de verificación anual de vidas útiles de bienes del municipio de Pereira, elaborado por el Almacenista Cesar Augusto Marin.</v>
      </c>
      <c r="T28" s="11">
        <f ca="1">IFERROR(__xludf.DUMMYFUNCTION("""COMPUTED_VALUE"""),44901)</f>
        <v>44901</v>
      </c>
      <c r="U28" s="10"/>
    </row>
    <row r="29" spans="1:21" ht="37.5" customHeight="1" x14ac:dyDescent="0.2">
      <c r="A29" s="10" t="str">
        <f ca="1">IFERROR(__xludf.DUMMYFUNCTION("""COMPUTED_VALUE"""),"Gestión con valores para resultados")</f>
        <v>Gestión con valores para resultados</v>
      </c>
      <c r="B29" s="10" t="str">
        <f ca="1">IFERROR(__xludf.DUMMYFUNCTION("""COMPUTED_VALUE"""),"Fortalecimiento Organizacional y Simplificación de Procesos")</f>
        <v>Fortalecimiento Organizacional y Simplificación de Procesos</v>
      </c>
      <c r="C29"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29" s="10" t="str">
        <f ca="1">IFERROR(__xludf.DUMMYFUNCTION("""COMPUTED_VALUE"""),"Informe de verificación anual de vidas útiles de los bienes muebles del municipio de Pereira.
")</f>
        <v xml:space="preserve">Informe de verificación anual de vidas útiles de los bienes muebles del municipio de Pereira.
</v>
      </c>
      <c r="E29" s="10" t="str">
        <f ca="1">IFERROR(__xludf.DUMMYFUNCTION("""COMPUTED_VALUE"""),"Informe de deterioro de los bienes muebles del municipio de Pereira de acuerdo a la materialidad establecida para la vigencia 100% elaborado.")</f>
        <v>Informe de deterioro de los bienes muebles del municipio de Pereira de acuerdo a la materialidad establecida para la vigencia 100% elaborado.</v>
      </c>
      <c r="F29" s="11">
        <f ca="1">IFERROR(__xludf.DUMMYFUNCTION("""COMPUTED_VALUE"""),44670)</f>
        <v>44670</v>
      </c>
      <c r="G29" s="11">
        <f ca="1">IFERROR(__xludf.DUMMYFUNCTION("""COMPUTED_VALUE"""),44926)</f>
        <v>44926</v>
      </c>
      <c r="H29" s="10" t="str">
        <f ca="1">IFERROR(__xludf.DUMMYFUNCTION("""COMPUTED_VALUE"""),"Director Administrativo de Bienes Muebles y Recursos Físicos 
")</f>
        <v xml:space="preserve">Director Administrativo de Bienes Muebles y Recursos Físicos 
</v>
      </c>
      <c r="I29" s="12">
        <f ca="1">IFERROR(__xludf.DUMMYFUNCTION("""COMPUTED_VALUE"""),0.36)</f>
        <v>0.36</v>
      </c>
      <c r="J29" s="10" t="str">
        <f ca="1">IFERROR(__xludf.DUMMYFUNCTION("""COMPUTED_VALUE"""),"INFORME EXCEL")</f>
        <v>INFORME EXCEL</v>
      </c>
      <c r="K29" s="11">
        <f ca="1">IFERROR(__xludf.DUMMYFUNCTION("""COMPUTED_VALUE"""),44650)</f>
        <v>44650</v>
      </c>
      <c r="L29" s="12">
        <f ca="1">IFERROR(__xludf.DUMMYFUNCTION("""COMPUTED_VALUE"""),0.5)</f>
        <v>0.5</v>
      </c>
      <c r="M29" s="10" t="str">
        <f ca="1">IFERROR(__xludf.DUMMYFUNCTION("""COMPUTED_VALUE"""),"INFORME EXCEL")</f>
        <v>INFORME EXCEL</v>
      </c>
      <c r="N29" s="11">
        <f ca="1">IFERROR(__xludf.DUMMYFUNCTION("""COMPUTED_VALUE"""),44742)</f>
        <v>44742</v>
      </c>
      <c r="O29" s="12">
        <f ca="1">IFERROR(__xludf.DUMMYFUNCTION("""COMPUTED_VALUE"""),0.5)</f>
        <v>0.5</v>
      </c>
      <c r="P29" s="10" t="str">
        <f ca="1">IFERROR(__xludf.DUMMYFUNCTION("""COMPUTED_VALUE"""),"Informe de deterioro de los bienes muebles del municipio de Pereira, registrado en la plataforma SIIF- MODULO ALMACEN ")</f>
        <v xml:space="preserve">Informe de deterioro de los bienes muebles del municipio de Pereira, registrado en la plataforma SIIF- MODULO ALMACEN </v>
      </c>
      <c r="Q29" s="11">
        <f ca="1">IFERROR(__xludf.DUMMYFUNCTION("""COMPUTED_VALUE"""),44851)</f>
        <v>44851</v>
      </c>
      <c r="R29" s="12">
        <f ca="1">IFERROR(__xludf.DUMMYFUNCTION("""COMPUTED_VALUE"""),1)</f>
        <v>1</v>
      </c>
      <c r="S29" s="10" t="str">
        <f ca="1">IFERROR(__xludf.DUMMYFUNCTION("""COMPUTED_VALUE"""),"Informe de deterioro de los bienes muebles del municipio de Pereira, registrado en la plataforma SIIF- MODULO ALMACEN")</f>
        <v>Informe de deterioro de los bienes muebles del municipio de Pereira, registrado en la plataforma SIIF- MODULO ALMACEN</v>
      </c>
      <c r="T29" s="11">
        <f ca="1">IFERROR(__xludf.DUMMYFUNCTION("""COMPUTED_VALUE"""),44901)</f>
        <v>44901</v>
      </c>
      <c r="U29" s="10"/>
    </row>
    <row r="30" spans="1:21" ht="37.5" customHeight="1" x14ac:dyDescent="0.2">
      <c r="A30" s="10" t="str">
        <f ca="1">IFERROR(__xludf.DUMMYFUNCTION("""COMPUTED_VALUE"""),"Gestión con valores para resultados")</f>
        <v>Gestión con valores para resultados</v>
      </c>
      <c r="B30" s="10" t="str">
        <f ca="1">IFERROR(__xludf.DUMMYFUNCTION("""COMPUTED_VALUE"""),"Fortalecimiento Organizacional y Simplificación de Procesos")</f>
        <v>Fortalecimiento Organizacional y Simplificación de Procesos</v>
      </c>
      <c r="C30"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30" s="10" t="str">
        <f ca="1">IFERROR(__xludf.DUMMYFUNCTION("""COMPUTED_VALUE"""),"Uso optimo de vehículos oficiales mediante el control de los viajes realizados vía rastreo satelital (GPS) y seguimiento del estado de cada vehículo mediante planilla.")</f>
        <v>Uso optimo de vehículos oficiales mediante el control de los viajes realizados vía rastreo satelital (GPS) y seguimiento del estado de cada vehículo mediante planilla.</v>
      </c>
      <c r="E30" s="10" t="str">
        <f ca="1">IFERROR(__xludf.DUMMYFUNCTION("""COMPUTED_VALUE"""),"90% de los vehículos institucionales con sistema de rastreo satelital (GPS).")</f>
        <v>90% de los vehículos institucionales con sistema de rastreo satelital (GPS).</v>
      </c>
      <c r="F30" s="11">
        <f ca="1">IFERROR(__xludf.DUMMYFUNCTION("""COMPUTED_VALUE"""),44670)</f>
        <v>44670</v>
      </c>
      <c r="G30" s="11">
        <f ca="1">IFERROR(__xludf.DUMMYFUNCTION("""COMPUTED_VALUE"""),44926)</f>
        <v>44926</v>
      </c>
      <c r="H30" s="10" t="str">
        <f ca="1">IFERROR(__xludf.DUMMYFUNCTION("""COMPUTED_VALUE"""),"Director Administrativo de Bienes Muebles y Recursos Físicos 
")</f>
        <v xml:space="preserve">Director Administrativo de Bienes Muebles y Recursos Físicos 
</v>
      </c>
      <c r="I30" s="12">
        <f ca="1">IFERROR(__xludf.DUMMYFUNCTION("""COMPUTED_VALUE"""),1)</f>
        <v>1</v>
      </c>
      <c r="J30" s="10" t="str">
        <f ca="1">IFERROR(__xludf.DUMMYFUNCTION("""COMPUTED_VALUE"""),"Registro en la plataforma del contratista")</f>
        <v>Registro en la plataforma del contratista</v>
      </c>
      <c r="K30" s="11">
        <f ca="1">IFERROR(__xludf.DUMMYFUNCTION("""COMPUTED_VALUE"""),44650)</f>
        <v>44650</v>
      </c>
      <c r="L30" s="12">
        <f ca="1">IFERROR(__xludf.DUMMYFUNCTION("""COMPUTED_VALUE"""),1)</f>
        <v>1</v>
      </c>
      <c r="M30" s="10" t="str">
        <f ca="1">IFERROR(__xludf.DUMMYFUNCTION("""COMPUTED_VALUE"""),"Registro en la plataforma del contratista")</f>
        <v>Registro en la plataforma del contratista</v>
      </c>
      <c r="N30" s="11">
        <f ca="1">IFERROR(__xludf.DUMMYFUNCTION("""COMPUTED_VALUE"""),44742)</f>
        <v>44742</v>
      </c>
      <c r="O30" s="12">
        <f ca="1">IFERROR(__xludf.DUMMYFUNCTION("""COMPUTED_VALUE"""),1)</f>
        <v>1</v>
      </c>
      <c r="P30" s="10" t="str">
        <f ca="1">IFERROR(__xludf.DUMMYFUNCTION("""COMPUTED_VALUE"""),"REGISTRO EN LA PLATAFORMA DEL CONTRATISTA- VISATEL DE COLOMBIA SAS")</f>
        <v>REGISTRO EN LA PLATAFORMA DEL CONTRATISTA- VISATEL DE COLOMBIA SAS</v>
      </c>
      <c r="Q30" s="11">
        <f ca="1">IFERROR(__xludf.DUMMYFUNCTION("""COMPUTED_VALUE"""),44851)</f>
        <v>44851</v>
      </c>
      <c r="R30" s="12">
        <f ca="1">IFERROR(__xludf.DUMMYFUNCTION("""COMPUTED_VALUE"""),1)</f>
        <v>1</v>
      </c>
      <c r="S30" s="10" t="str">
        <f ca="1">IFERROR(__xludf.DUMMYFUNCTION("""COMPUTED_VALUE"""),"REGISTRO EN LA PLATAFORMA DEL CONTRATISTA- VISATEL DE COLOMBIA SAS")</f>
        <v>REGISTRO EN LA PLATAFORMA DEL CONTRATISTA- VISATEL DE COLOMBIA SAS</v>
      </c>
      <c r="T30" s="11">
        <f ca="1">IFERROR(__xludf.DUMMYFUNCTION("""COMPUTED_VALUE"""),44901)</f>
        <v>44901</v>
      </c>
      <c r="U30" s="10"/>
    </row>
    <row r="31" spans="1:21" ht="37.5" customHeight="1" x14ac:dyDescent="0.2">
      <c r="A31" s="10" t="str">
        <f ca="1">IFERROR(__xludf.DUMMYFUNCTION("""COMPUTED_VALUE"""),"Gestión con valores para resultados")</f>
        <v>Gestión con valores para resultados</v>
      </c>
      <c r="B31" s="10" t="str">
        <f ca="1">IFERROR(__xludf.DUMMYFUNCTION("""COMPUTED_VALUE"""),"Fortalecimiento Organizacional y Simplificación de Procesos")</f>
        <v>Fortalecimiento Organizacional y Simplificación de Procesos</v>
      </c>
      <c r="C31"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31" s="10" t="str">
        <f ca="1">IFERROR(__xludf.DUMMYFUNCTION("""COMPUTED_VALUE"""),"Bienes en servicio de carácter devolutivo de las diferentes dependencias identificados (plaqueteados)")</f>
        <v>Bienes en servicio de carácter devolutivo de las diferentes dependencias identificados (plaqueteados)</v>
      </c>
      <c r="E31" s="10" t="str">
        <f ca="1">IFERROR(__xludf.DUMMYFUNCTION("""COMPUTED_VALUE"""),"30% de los funcionarios de planta con bienes a cargo identificados con plaqueta.")</f>
        <v>30% de los funcionarios de planta con bienes a cargo identificados con plaqueta.</v>
      </c>
      <c r="F31" s="11">
        <f ca="1">IFERROR(__xludf.DUMMYFUNCTION("""COMPUTED_VALUE"""),44670)</f>
        <v>44670</v>
      </c>
      <c r="G31" s="11">
        <f ca="1">IFERROR(__xludf.DUMMYFUNCTION("""COMPUTED_VALUE"""),44926)</f>
        <v>44926</v>
      </c>
      <c r="H31" s="10" t="str">
        <f ca="1">IFERROR(__xludf.DUMMYFUNCTION("""COMPUTED_VALUE"""),"Director Administrativo de Bienes Muebles y Recursos Físicos 
")</f>
        <v xml:space="preserve">Director Administrativo de Bienes Muebles y Recursos Físicos 
</v>
      </c>
      <c r="I31" s="12">
        <f ca="1">IFERROR(__xludf.DUMMYFUNCTION("""COMPUTED_VALUE"""),0.3)</f>
        <v>0.3</v>
      </c>
      <c r="J31" s="10" t="str">
        <f ca="1">IFERROR(__xludf.DUMMYFUNCTION("""COMPUTED_VALUE"""),"PLAQUETA FISICO EN CADA BIEN")</f>
        <v>PLAQUETA FISICO EN CADA BIEN</v>
      </c>
      <c r="K31" s="11">
        <f ca="1">IFERROR(__xludf.DUMMYFUNCTION("""COMPUTED_VALUE"""),44650)</f>
        <v>44650</v>
      </c>
      <c r="L31" s="12">
        <f ca="1">IFERROR(__xludf.DUMMYFUNCTION("""COMPUTED_VALUE"""),0.4)</f>
        <v>0.4</v>
      </c>
      <c r="M31" s="10" t="str">
        <f ca="1">IFERROR(__xludf.DUMMYFUNCTION("""COMPUTED_VALUE"""),"PLAQUETA FISICO EN CADA BIEN")</f>
        <v>PLAQUETA FISICO EN CADA BIEN</v>
      </c>
      <c r="N31" s="11">
        <f ca="1">IFERROR(__xludf.DUMMYFUNCTION("""COMPUTED_VALUE"""),44742)</f>
        <v>44742</v>
      </c>
      <c r="O31" s="12">
        <f ca="1">IFERROR(__xludf.DUMMYFUNCTION("""COMPUTED_VALUE"""),0.5)</f>
        <v>0.5</v>
      </c>
      <c r="P31" s="10" t="str">
        <f ca="1">IFERROR(__xludf.DUMMYFUNCTION("""COMPUTED_VALUE"""),"STIKER IMPRESO DEL PROGRAMA SAT BarTender Ultralife, PUESTO EN FISICO EN A CADA BIEN")</f>
        <v>STIKER IMPRESO DEL PROGRAMA SAT BarTender Ultralife, PUESTO EN FISICO EN A CADA BIEN</v>
      </c>
      <c r="Q31" s="11">
        <f ca="1">IFERROR(__xludf.DUMMYFUNCTION("""COMPUTED_VALUE"""),44851)</f>
        <v>44851</v>
      </c>
      <c r="R31" s="12">
        <f ca="1">IFERROR(__xludf.DUMMYFUNCTION("""COMPUTED_VALUE"""),0.5)</f>
        <v>0.5</v>
      </c>
      <c r="S31" s="10" t="str">
        <f ca="1">IFERROR(__xludf.DUMMYFUNCTION("""COMPUTED_VALUE"""),"STIKER IMPRESO DEL PROGRAMA SAT BarTender Ultralife, PUESTO EN FISICO EN A CADA BIEN")</f>
        <v>STIKER IMPRESO DEL PROGRAMA SAT BarTender Ultralife, PUESTO EN FISICO EN A CADA BIEN</v>
      </c>
      <c r="T31" s="11">
        <f ca="1">IFERROR(__xludf.DUMMYFUNCTION("""COMPUTED_VALUE"""),44901)</f>
        <v>44901</v>
      </c>
      <c r="U31" s="10"/>
    </row>
    <row r="32" spans="1:21" ht="37.5" customHeight="1" x14ac:dyDescent="0.2">
      <c r="A32" s="10" t="str">
        <f ca="1">IFERROR(__xludf.DUMMYFUNCTION("""COMPUTED_VALUE"""),"Gestión con valores para resultados")</f>
        <v>Gestión con valores para resultados</v>
      </c>
      <c r="B32" s="10" t="str">
        <f ca="1">IFERROR(__xludf.DUMMYFUNCTION("""COMPUTED_VALUE"""),"Fortalecimiento Organizacional y Simplificación de Procesos")</f>
        <v>Fortalecimiento Organizacional y Simplificación de Procesos</v>
      </c>
      <c r="C32"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32" s="10" t="str">
        <f ca="1">IFERROR(__xludf.DUMMYFUNCTION("""COMPUTED_VALUE"""),"Bienes ingreados al almacen y entregados en servicio de carácter devolutivo plaqueteados.")</f>
        <v>Bienes ingreados al almacen y entregados en servicio de carácter devolutivo plaqueteados.</v>
      </c>
      <c r="E32" s="10" t="str">
        <f ca="1">IFERROR(__xludf.DUMMYFUNCTION("""COMPUTED_VALUE"""),"100% de los nuevos bienes ingresados al almacén y entregados al servicio identificados con plaqueta.")</f>
        <v>100% de los nuevos bienes ingresados al almacén y entregados al servicio identificados con plaqueta.</v>
      </c>
      <c r="F32" s="11">
        <f ca="1">IFERROR(__xludf.DUMMYFUNCTION("""COMPUTED_VALUE"""),44670)</f>
        <v>44670</v>
      </c>
      <c r="G32" s="11">
        <f ca="1">IFERROR(__xludf.DUMMYFUNCTION("""COMPUTED_VALUE"""),44926)</f>
        <v>44926</v>
      </c>
      <c r="H32" s="10" t="str">
        <f ca="1">IFERROR(__xludf.DUMMYFUNCTION("""COMPUTED_VALUE"""),"Almacenista")</f>
        <v>Almacenista</v>
      </c>
      <c r="I32" s="12">
        <f ca="1">IFERROR(__xludf.DUMMYFUNCTION("""COMPUTED_VALUE"""),1)</f>
        <v>1</v>
      </c>
      <c r="J32" s="10" t="str">
        <f ca="1">IFERROR(__xludf.DUMMYFUNCTION("""COMPUTED_VALUE"""),"PLAQUETA FISICO EN CADA BIEN")</f>
        <v>PLAQUETA FISICO EN CADA BIEN</v>
      </c>
      <c r="K32" s="11">
        <f ca="1">IFERROR(__xludf.DUMMYFUNCTION("""COMPUTED_VALUE"""),44650)</f>
        <v>44650</v>
      </c>
      <c r="L32" s="12">
        <f ca="1">IFERROR(__xludf.DUMMYFUNCTION("""COMPUTED_VALUE"""),1)</f>
        <v>1</v>
      </c>
      <c r="M32" s="10" t="str">
        <f ca="1">IFERROR(__xludf.DUMMYFUNCTION("""COMPUTED_VALUE"""),"PLAQUETA FISICO EN CADA BIEN")</f>
        <v>PLAQUETA FISICO EN CADA BIEN</v>
      </c>
      <c r="N32" s="11">
        <f ca="1">IFERROR(__xludf.DUMMYFUNCTION("""COMPUTED_VALUE"""),44742)</f>
        <v>44742</v>
      </c>
      <c r="O32" s="12">
        <f ca="1">IFERROR(__xludf.DUMMYFUNCTION("""COMPUTED_VALUE"""),1)</f>
        <v>1</v>
      </c>
      <c r="P32" s="10" t="str">
        <f ca="1">IFERROR(__xludf.DUMMYFUNCTION("""COMPUTED_VALUE"""),"STIKER IMPRESO DEL PROGRAMA SAT BarTender Ultralife, PUESTO EN FISICO EN A CADA BIEN")</f>
        <v>STIKER IMPRESO DEL PROGRAMA SAT BarTender Ultralife, PUESTO EN FISICO EN A CADA BIEN</v>
      </c>
      <c r="Q32" s="11">
        <f ca="1">IFERROR(__xludf.DUMMYFUNCTION("""COMPUTED_VALUE"""),44851)</f>
        <v>44851</v>
      </c>
      <c r="R32" s="12">
        <f ca="1">IFERROR(__xludf.DUMMYFUNCTION("""COMPUTED_VALUE"""),1)</f>
        <v>1</v>
      </c>
      <c r="S32" s="10" t="str">
        <f ca="1">IFERROR(__xludf.DUMMYFUNCTION("""COMPUTED_VALUE"""),"STIKER IMPRESO DEL PROGRAMA SAT BarTender Ultralife, PUESTO EN FISICO EN A CADA BIEN")</f>
        <v>STIKER IMPRESO DEL PROGRAMA SAT BarTender Ultralife, PUESTO EN FISICO EN A CADA BIEN</v>
      </c>
      <c r="T32" s="11">
        <f ca="1">IFERROR(__xludf.DUMMYFUNCTION("""COMPUTED_VALUE"""),44901)</f>
        <v>44901</v>
      </c>
      <c r="U32" s="10"/>
    </row>
    <row r="33" spans="1:21" ht="37.5" customHeight="1" x14ac:dyDescent="0.2">
      <c r="A33" s="10" t="str">
        <f ca="1">IFERROR(__xludf.DUMMYFUNCTION("""COMPUTED_VALUE"""),"Gestión con valores para resultados")</f>
        <v>Gestión con valores para resultados</v>
      </c>
      <c r="B33" s="10" t="str">
        <f ca="1">IFERROR(__xludf.DUMMYFUNCTION("""COMPUTED_VALUE"""),"Fortalecimiento Organizacional y Simplificación de Procesos")</f>
        <v>Fortalecimiento Organizacional y Simplificación de Procesos</v>
      </c>
      <c r="C33"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33" s="10" t="str">
        <f ca="1">IFERROR(__xludf.DUMMYFUNCTION("""COMPUTED_VALUE"""),"Entrega de bienes devolutivos por traslado o por cambio de funcionario de acuerdo al manual de bienes.")</f>
        <v>Entrega de bienes devolutivos por traslado o por cambio de funcionario de acuerdo al manual de bienes.</v>
      </c>
      <c r="E33" s="10" t="str">
        <f ca="1">IFERROR(__xludf.DUMMYFUNCTION("""COMPUTED_VALUE"""),"100% de los bienes ingresados al almacén con funcionario responsable asignado.")</f>
        <v>100% de los bienes ingresados al almacén con funcionario responsable asignado.</v>
      </c>
      <c r="F33" s="11">
        <f ca="1">IFERROR(__xludf.DUMMYFUNCTION("""COMPUTED_VALUE"""),44670)</f>
        <v>44670</v>
      </c>
      <c r="G33" s="11">
        <f ca="1">IFERROR(__xludf.DUMMYFUNCTION("""COMPUTED_VALUE"""),44926)</f>
        <v>44926</v>
      </c>
      <c r="H33" s="10" t="str">
        <f ca="1">IFERROR(__xludf.DUMMYFUNCTION("""COMPUTED_VALUE"""),"Director Administrativo de Bienes Muebles y Recursos Físicos 
")</f>
        <v xml:space="preserve">Director Administrativo de Bienes Muebles y Recursos Físicos 
</v>
      </c>
      <c r="I33" s="12">
        <f ca="1">IFERROR(__xludf.DUMMYFUNCTION("""COMPUTED_VALUE"""),0.3)</f>
        <v>0.3</v>
      </c>
      <c r="J33" s="10" t="str">
        <f ca="1">IFERROR(__xludf.DUMMYFUNCTION("""COMPUTED_VALUE"""),"Registro SIIF MODULO ALMACEN")</f>
        <v>Registro SIIF MODULO ALMACEN</v>
      </c>
      <c r="K33" s="11">
        <f ca="1">IFERROR(__xludf.DUMMYFUNCTION("""COMPUTED_VALUE"""),44650)</f>
        <v>44650</v>
      </c>
      <c r="L33" s="12">
        <f ca="1">IFERROR(__xludf.DUMMYFUNCTION("""COMPUTED_VALUE"""),1)</f>
        <v>1</v>
      </c>
      <c r="M33" s="10" t="str">
        <f ca="1">IFERROR(__xludf.DUMMYFUNCTION("""COMPUTED_VALUE"""),"Registro SIIF MODULO ALMACEN")</f>
        <v>Registro SIIF MODULO ALMACEN</v>
      </c>
      <c r="N33" s="11">
        <f ca="1">IFERROR(__xludf.DUMMYFUNCTION("""COMPUTED_VALUE"""),44742)</f>
        <v>44742</v>
      </c>
      <c r="O33" s="12">
        <f ca="1">IFERROR(__xludf.DUMMYFUNCTION("""COMPUTED_VALUE"""),1)</f>
        <v>1</v>
      </c>
      <c r="P33" s="10" t="str">
        <f ca="1">IFERROR(__xludf.DUMMYFUNCTION("""COMPUTED_VALUE"""),"Registro SIIF MODULO ALMACEN")</f>
        <v>Registro SIIF MODULO ALMACEN</v>
      </c>
      <c r="Q33" s="11">
        <f ca="1">IFERROR(__xludf.DUMMYFUNCTION("""COMPUTED_VALUE"""),44851)</f>
        <v>44851</v>
      </c>
      <c r="R33" s="12">
        <f ca="1">IFERROR(__xludf.DUMMYFUNCTION("""COMPUTED_VALUE"""),1)</f>
        <v>1</v>
      </c>
      <c r="S33" s="10" t="str">
        <f ca="1">IFERROR(__xludf.DUMMYFUNCTION("""COMPUTED_VALUE"""),"Registro SIIF MODULO ALMACEN")</f>
        <v>Registro SIIF MODULO ALMACEN</v>
      </c>
      <c r="T33" s="11">
        <f ca="1">IFERROR(__xludf.DUMMYFUNCTION("""COMPUTED_VALUE"""),44901)</f>
        <v>44901</v>
      </c>
      <c r="U33" s="10"/>
    </row>
    <row r="34" spans="1:21" ht="37.5" customHeight="1" x14ac:dyDescent="0.2">
      <c r="A34" s="10" t="str">
        <f ca="1">IFERROR(__xludf.DUMMYFUNCTION("""COMPUTED_VALUE"""),"Gestión con valores para resultados")</f>
        <v>Gestión con valores para resultados</v>
      </c>
      <c r="B34" s="10" t="str">
        <f ca="1">IFERROR(__xludf.DUMMYFUNCTION("""COMPUTED_VALUE"""),"Fortalecimiento Organizacional y Simplificación de Procesos")</f>
        <v>Fortalecimiento Organizacional y Simplificación de Procesos</v>
      </c>
      <c r="C34" s="10" t="str">
        <f ca="1">IFERROR(__xludf.DUMMYFUNCTION("""COMPUTED_VALUE"""),"Medir la capacidad de la entidad pública de identificar, adquirir y disponer los recursos requeridos para la generación de los productos o la prestación de los servicios en cantidades y cualidades necesarias, así como atendiendo condiciones de ambiente y "&amp;"seguridad laboral.")</f>
        <v>Medir la capacidad de la entidad pública de identificar, adquirir y disponer los recursos requeridos para la generación de los productos o la prestación de los servicios en cantidades y cualidades necesarias, así como atendiendo condiciones de ambiente y seguridad laboral.</v>
      </c>
      <c r="D34" s="10" t="str">
        <f ca="1">IFERROR(__xludf.DUMMYFUNCTION("""COMPUTED_VALUE"""),"Desarrollo de procesos contractuales para adquirir los distintos mantenimientos preventivos de las instalaciones físicas y equipos de la entidad.")</f>
        <v>Desarrollo de procesos contractuales para adquirir los distintos mantenimientos preventivos de las instalaciones físicas y equipos de la entidad.</v>
      </c>
      <c r="E34" s="10" t="str">
        <f ca="1">IFERROR(__xludf.DUMMYFUNCTION("""COMPUTED_VALUE"""),"100% de los contratos de mantenimiento de las instalaciones físicas y equipos de la entidad realizados.")</f>
        <v>100% de los contratos de mantenimiento de las instalaciones físicas y equipos de la entidad realizados.</v>
      </c>
      <c r="F34" s="11">
        <f ca="1">IFERROR(__xludf.DUMMYFUNCTION("""COMPUTED_VALUE"""),44670)</f>
        <v>44670</v>
      </c>
      <c r="G34" s="11">
        <f ca="1">IFERROR(__xludf.DUMMYFUNCTION("""COMPUTED_VALUE"""),44926)</f>
        <v>44926</v>
      </c>
      <c r="H34" s="10" t="str">
        <f ca="1">IFERROR(__xludf.DUMMYFUNCTION("""COMPUTED_VALUE"""),"Profesional Especialiazada de Servicios generales")</f>
        <v>Profesional Especialiazada de Servicios generales</v>
      </c>
      <c r="I34" s="12">
        <f ca="1">IFERROR(__xludf.DUMMYFUNCTION("""COMPUTED_VALUE"""),0)</f>
        <v>0</v>
      </c>
      <c r="J34" s="10" t="str">
        <f ca="1">IFERROR(__xludf.DUMMYFUNCTION("""COMPUTED_VALUE"""),"fichas de mantenimiento")</f>
        <v>fichas de mantenimiento</v>
      </c>
      <c r="K34" s="11">
        <f ca="1">IFERROR(__xludf.DUMMYFUNCTION("""COMPUTED_VALUE"""),44650)</f>
        <v>44650</v>
      </c>
      <c r="L34" s="12">
        <f ca="1">IFERROR(__xludf.DUMMYFUNCTION("""COMPUTED_VALUE"""),0)</f>
        <v>0</v>
      </c>
      <c r="M34" s="10" t="str">
        <f ca="1">IFERROR(__xludf.DUMMYFUNCTION("""COMPUTED_VALUE"""),"fichas de mantenimiento")</f>
        <v>fichas de mantenimiento</v>
      </c>
      <c r="N34" s="11">
        <f ca="1">IFERROR(__xludf.DUMMYFUNCTION("""COMPUTED_VALUE"""),44742)</f>
        <v>44742</v>
      </c>
      <c r="O34" s="12">
        <f ca="1">IFERROR(__xludf.DUMMYFUNCTION("""COMPUTED_VALUE"""),1)</f>
        <v>1</v>
      </c>
      <c r="P34" s="10" t="str">
        <f ca="1">IFERROR(__xludf.DUMMYFUNCTION("""COMPUTED_VALUE"""),"CONTRATOS DE MANTENIMIENTO")</f>
        <v>CONTRATOS DE MANTENIMIENTO</v>
      </c>
      <c r="Q34" s="11">
        <f ca="1">IFERROR(__xludf.DUMMYFUNCTION("""COMPUTED_VALUE"""),44851)</f>
        <v>44851</v>
      </c>
      <c r="R34" s="12">
        <f ca="1">IFERROR(__xludf.DUMMYFUNCTION("""COMPUTED_VALUE"""),1)</f>
        <v>1</v>
      </c>
      <c r="S34" s="10" t="str">
        <f ca="1">IFERROR(__xludf.DUMMYFUNCTION("""COMPUTED_VALUE"""),"CONTRATOS DE MANTENIMIENTO")</f>
        <v>CONTRATOS DE MANTENIMIENTO</v>
      </c>
      <c r="T34" s="11">
        <f ca="1">IFERROR(__xludf.DUMMYFUNCTION("""COMPUTED_VALUE"""),44901)</f>
        <v>44901</v>
      </c>
      <c r="U34" s="10"/>
    </row>
    <row r="35" spans="1:21" ht="37.5" customHeight="1" x14ac:dyDescent="0.2">
      <c r="A35" s="10" t="str">
        <f ca="1">IFERROR(__xludf.DUMMYFUNCTION("""COMPUTED_VALUE"""),"Información y Comunicación")</f>
        <v>Información y Comunicación</v>
      </c>
      <c r="B35" s="10" t="str">
        <f ca="1">IFERROR(__xludf.DUMMYFUNCTION("""COMPUTED_VALUE"""),"Gestión de la Información Estadística")</f>
        <v>Gestión de la Información Estadística</v>
      </c>
      <c r="C35" s="10" t="str">
        <f ca="1">IFERROR(__xludf.DUMMYFUNCTION("""COMPUTED_VALUE"""),"La entidad ha dispuesto del hardware y software suficiente para la generación, procesamiento, análisis y difusión de información estadística")</f>
        <v>La entidad ha dispuesto del hardware y software suficiente para la generación, procesamiento, análisis y difusión de información estadística</v>
      </c>
      <c r="D35" s="10" t="str">
        <f ca="1">IFERROR(__xludf.DUMMYFUNCTION("""COMPUTED_VALUE"""),"Herramienta para generación de información estadística")</f>
        <v>Herramienta para generación de información estadística</v>
      </c>
      <c r="E35" s="10" t="str">
        <f ca="1">IFERROR(__xludf.DUMMYFUNCTION("""COMPUTED_VALUE"""),"Herramienta para generación de información estadística en funcionamiento")</f>
        <v>Herramienta para generación de información estadística en funcionamiento</v>
      </c>
      <c r="F35" s="11">
        <f ca="1">IFERROR(__xludf.DUMMYFUNCTION("""COMPUTED_VALUE"""),44378)</f>
        <v>44378</v>
      </c>
      <c r="G35" s="11">
        <f ca="1">IFERROR(__xludf.DUMMYFUNCTION("""COMPUTED_VALUE"""),44742)</f>
        <v>44742</v>
      </c>
      <c r="H35" s="10" t="str">
        <f ca="1">IFERROR(__xludf.DUMMYFUNCTION("""COMPUTED_VALUE"""),"SECRETARÍA DE LAS TICS")</f>
        <v>SECRETARÍA DE LAS TICS</v>
      </c>
      <c r="I35" s="12">
        <f ca="1">IFERROR(__xludf.DUMMYFUNCTION("""COMPUTED_VALUE"""),0.5)</f>
        <v>0.5</v>
      </c>
      <c r="J35" s="10" t="str">
        <f ca="1">IFERROR(__xludf.DUMMYFUNCTION("""COMPUTED_VALUE"""),"Actualmente se encuentra en uso el software QUICK INFO, sistema enfocado en reportes e indicadores financieros. Se conecta a diferentes bases de datos, para realizar consulta información, con el fin de presentar los reportes que el usuario requiere, tenie"&amp;"ndo en cuenta los campos de las bases de datos. Se proyecta su utilización para la generación y manejo de indicadores. Interopera con las bases de datos de SAIA, SIIF financiero y precontractual, Aireplus.
 Actualmente es un software local, utilizado po"&amp;"r la Secretaría de Hacienda (Asuntos tributarios) y la Secretaría de Deportes.
 El sistema cuenta con los módulos: 
 Módulo de visor usuario normal,
 Módulo de reportes 
 Módulo de consulta(query)
 Módulo de cuadro de mando
 Módulo de indicadores
 Módul"&amp;"o de Administración")</f>
        <v>Actualmente se encuentra en uso el software QUICK INFO, sistema enfocado en reportes e indicadores financieros. Se conecta a diferentes bases de datos, para realizar consulta información, con el fin de presentar los reportes que el usuario requiere, teniendo en cuenta los campos de las bases de datos. Se proyecta su utilización para la generación y manejo de indicadores. Interopera con las bases de datos de SAIA, SIIF financiero y precontractual, Aireplus.
 Actualmente es un software local, utilizado por la Secretaría de Hacienda (Asuntos tributarios) y la Secretaría de Deportes.
 El sistema cuenta con los módulos: 
 Módulo de visor usuario normal,
 Módulo de reportes 
 Módulo de consulta(query)
 Módulo de cuadro de mando
 Módulo de indicadores
 Módulo de Administración</v>
      </c>
      <c r="K35" s="11">
        <f ca="1">IFERROR(__xludf.DUMMYFUNCTION("""COMPUTED_VALUE"""),44650)</f>
        <v>44650</v>
      </c>
      <c r="L35" s="12">
        <f ca="1">IFERROR(__xludf.DUMMYFUNCTION("""COMPUTED_VALUE"""),0.5)</f>
        <v>0.5</v>
      </c>
      <c r="M35" s="10" t="str">
        <f ca="1">IFERROR(__xludf.DUMMYFUNCTION("""COMPUTED_VALUE"""),"Actualmente se encuentra en uso el software QUICK INFO, sistema enfocado en reportes e indicadores financieros. Se conecta a diferentes bases de datos, para realizar consulta información, con el fin de presentar los reportes que el usuario requiere, tenie"&amp;"ndo en cuenta los campos de las bases de datos. Se proyecta su utilización para la generación y manejo de indicadores. Interopera con las bases de datos de SAIA, SIIF financiero y precontractual, Aireplus.
 Actualmente es un software local, utilizado po"&amp;"r la Secretaría de Hacienda (Asuntos tributarios) y la Secretaría de Deportes.
 El sistema cuenta con los módulos: 
 Módulo de visor usuario normal,
 Módulo de reportes 
 Módulo de consulta(query)
 Módulo de cuadro de mando
 Módulo de indicadores
 Módul"&amp;"o de Administración")</f>
        <v>Actualmente se encuentra en uso el software QUICK INFO, sistema enfocado en reportes e indicadores financieros. Se conecta a diferentes bases de datos, para realizar consulta información, con el fin de presentar los reportes que el usuario requiere, teniendo en cuenta los campos de las bases de datos. Se proyecta su utilización para la generación y manejo de indicadores. Interopera con las bases de datos de SAIA, SIIF financiero y precontractual, Aireplus.
 Actualmente es un software local, utilizado por la Secretaría de Hacienda (Asuntos tributarios) y la Secretaría de Deportes.
 El sistema cuenta con los módulos: 
 Módulo de visor usuario normal,
 Módulo de reportes 
 Módulo de consulta(query)
 Módulo de cuadro de mando
 Módulo de indicadores
 Módulo de Administración</v>
      </c>
      <c r="N35" s="11">
        <f ca="1">IFERROR(__xludf.DUMMYFUNCTION("""COMPUTED_VALUE"""),44742)</f>
        <v>44742</v>
      </c>
      <c r="O35" s="12">
        <f ca="1">IFERROR(__xludf.DUMMYFUNCTION("""COMPUTED_VALUE"""),0.5)</f>
        <v>0.5</v>
      </c>
      <c r="P35" s="10" t="str">
        <f ca="1">IFERROR(__xludf.DUMMYFUNCTION("""COMPUTED_VALUE"""),"Actualmente se encuentra en uso el software QUICK INFO, sistema enfocado en reportes e indicadores financieros. Se conecta a diferentes bases de datos, para realizar consulta información, con el fin de presentar los reportes que el usuario requiere, tenie"&amp;"ndo en cuenta los campos de las bases de datos. Se proyecta su utilización para la generación y manejo de indicadores. Interopera con las bases de datos de SAIA, SIIF financiero y precontractual, Aireplus.
 Actualmente es un software local, utilizado po"&amp;"r la Secretaría de Hacienda (Asuntos tributarios) y la Secretaría de Deportes.
 El sistema cuenta con los módulos: 
 Módulo de visor usuario normal,
 Módulo de reportes 
 Módulo de consulta(query)
 Módulo de cuadro de mando
 Módulo de indicadores
 Módul"&amp;"o de Administración")</f>
        <v>Actualmente se encuentra en uso el software QUICK INFO, sistema enfocado en reportes e indicadores financieros. Se conecta a diferentes bases de datos, para realizar consulta información, con el fin de presentar los reportes que el usuario requiere, teniendo en cuenta los campos de las bases de datos. Se proyecta su utilización para la generación y manejo de indicadores. Interopera con las bases de datos de SAIA, SIIF financiero y precontractual, Aireplus.
 Actualmente es un software local, utilizado por la Secretaría de Hacienda (Asuntos tributarios) y la Secretaría de Deportes.
 El sistema cuenta con los módulos: 
 Módulo de visor usuario normal,
 Módulo de reportes 
 Módulo de consulta(query)
 Módulo de cuadro de mando
 Módulo de indicadores
 Módulo de Administración</v>
      </c>
      <c r="Q35" s="11">
        <f ca="1">IFERROR(__xludf.DUMMYFUNCTION("""COMPUTED_VALUE"""),44834)</f>
        <v>44834</v>
      </c>
      <c r="R35" s="12"/>
      <c r="S35" s="10"/>
      <c r="T35" s="11"/>
      <c r="U35" s="10"/>
    </row>
    <row r="36" spans="1:21" ht="37.5" customHeight="1" x14ac:dyDescent="0.2">
      <c r="A36" s="10" t="str">
        <f ca="1">IFERROR(__xludf.DUMMYFUNCTION("""COMPUTED_VALUE"""),"Información y Comunicación")</f>
        <v>Información y Comunicación</v>
      </c>
      <c r="B36" s="10" t="str">
        <f ca="1">IFERROR(__xludf.DUMMYFUNCTION("""COMPUTED_VALUE"""),"Gestión de la Información Estadística")</f>
        <v>Gestión de la Información Estadística</v>
      </c>
      <c r="C36" s="10" t="str">
        <f ca="1">IFERROR(__xludf.DUMMYFUNCTION("""COMPUTED_VALUE"""),"La entidad dispone de herramientas de procesamiento de datos para generar información estadística, adicionales a las hojas de cálculo")</f>
        <v>La entidad dispone de herramientas de procesamiento de datos para generar información estadística, adicionales a las hojas de cálculo</v>
      </c>
      <c r="D36" s="10" t="str">
        <f ca="1">IFERROR(__xludf.DUMMYFUNCTION("""COMPUTED_VALUE"""),"Herramienta para generación de información estadística")</f>
        <v>Herramienta para generación de información estadística</v>
      </c>
      <c r="E36" s="10" t="str">
        <f ca="1">IFERROR(__xludf.DUMMYFUNCTION("""COMPUTED_VALUE"""),"Herramienta para generación de información estadística en funcionamiento")</f>
        <v>Herramienta para generación de información estadística en funcionamiento</v>
      </c>
      <c r="F36" s="11">
        <f ca="1">IFERROR(__xludf.DUMMYFUNCTION("""COMPUTED_VALUE"""),44378)</f>
        <v>44378</v>
      </c>
      <c r="G36" s="11">
        <f ca="1">IFERROR(__xludf.DUMMYFUNCTION("""COMPUTED_VALUE"""),44742)</f>
        <v>44742</v>
      </c>
      <c r="H36" s="10" t="str">
        <f ca="1">IFERROR(__xludf.DUMMYFUNCTION("""COMPUTED_VALUE"""),"SECRETARÍA DE LAS TICS")</f>
        <v>SECRETARÍA DE LAS TICS</v>
      </c>
      <c r="I36" s="12">
        <f ca="1">IFERROR(__xludf.DUMMYFUNCTION("""COMPUTED_VALUE"""),0.5)</f>
        <v>0.5</v>
      </c>
      <c r="J36" s="10" t="str">
        <f ca="1">IFERROR(__xludf.DUMMYFUNCTION("""COMPUTED_VALUE"""),"Actualmente se encuentra en uso el software QUICK INFO, sistema enfocado en reportes e indicadores financieros. Se conecta a diferentes bases de datos, para realizar consulta información, con el fin de presentar los reportes que el usuario requiere, tenie"&amp;"ndo en cuenta los campos de las bases de datos. Se proyecta su utilización para la generación y manejo de indicadores. Interopera con las bases de datos de SAIA, SIIF financiero y precontractual, Aireplus.
 Actualmente es un software local, utilizado po"&amp;"r la Secretaría de Hacienda (Asuntos tributarios) y la Secretaría de Deportes.
 El sistema cuenta con los módulos: 
 Módulo de visor usuario normal,
 Módulo de reportes 
 Módulo de consulta(query)
 Módulo de cuadro de mando
 Módulo de indicadores
 Módul"&amp;"o de Administración")</f>
        <v>Actualmente se encuentra en uso el software QUICK INFO, sistema enfocado en reportes e indicadores financieros. Se conecta a diferentes bases de datos, para realizar consulta información, con el fin de presentar los reportes que el usuario requiere, teniendo en cuenta los campos de las bases de datos. Se proyecta su utilización para la generación y manejo de indicadores. Interopera con las bases de datos de SAIA, SIIF financiero y precontractual, Aireplus.
 Actualmente es un software local, utilizado por la Secretaría de Hacienda (Asuntos tributarios) y la Secretaría de Deportes.
 El sistema cuenta con los módulos: 
 Módulo de visor usuario normal,
 Módulo de reportes 
 Módulo de consulta(query)
 Módulo de cuadro de mando
 Módulo de indicadores
 Módulo de Administración</v>
      </c>
      <c r="K36" s="11">
        <f ca="1">IFERROR(__xludf.DUMMYFUNCTION("""COMPUTED_VALUE"""),44650)</f>
        <v>44650</v>
      </c>
      <c r="L36" s="12">
        <f ca="1">IFERROR(__xludf.DUMMYFUNCTION("""COMPUTED_VALUE"""),0.5)</f>
        <v>0.5</v>
      </c>
      <c r="M36" s="10" t="str">
        <f ca="1">IFERROR(__xludf.DUMMYFUNCTION("""COMPUTED_VALUE"""),"Actualmente se encuentra en uso el software QUICK INFO, sistema enfocado en reportes e indicadores financieros. Se conecta a diferentes bases de datos, para realizar consulta información, con el fin de presentar los reportes que el usuario requiere, tenie"&amp;"ndo en cuenta los campos de las bases de datos. Se proyecta su utilización para la generación y manejo de indicadores. Interopera con las bases de datos de SAIA, SIIF financiero y precontractual, Aireplus.
 Actualmente es un software local, utilizado po"&amp;"r la Secretaría de Hacienda (Asuntos tributarios) y la Secretaría de Deportes.
 El sistema cuenta con los módulos: 
 Módulo de visor usuario normal,
 Módulo de reportes 
 Módulo de consulta(query)
 Módulo de cuadro de mando
 Módulo de indicadores
 Módul"&amp;"o de Administración")</f>
        <v>Actualmente se encuentra en uso el software QUICK INFO, sistema enfocado en reportes e indicadores financieros. Se conecta a diferentes bases de datos, para realizar consulta información, con el fin de presentar los reportes que el usuario requiere, teniendo en cuenta los campos de las bases de datos. Se proyecta su utilización para la generación y manejo de indicadores. Interopera con las bases de datos de SAIA, SIIF financiero y precontractual, Aireplus.
 Actualmente es un software local, utilizado por la Secretaría de Hacienda (Asuntos tributarios) y la Secretaría de Deportes.
 El sistema cuenta con los módulos: 
 Módulo de visor usuario normal,
 Módulo de reportes 
 Módulo de consulta(query)
 Módulo de cuadro de mando
 Módulo de indicadores
 Módulo de Administración</v>
      </c>
      <c r="N36" s="11">
        <f ca="1">IFERROR(__xludf.DUMMYFUNCTION("""COMPUTED_VALUE"""),44742)</f>
        <v>44742</v>
      </c>
      <c r="O36" s="12">
        <f ca="1">IFERROR(__xludf.DUMMYFUNCTION("""COMPUTED_VALUE"""),0.5)</f>
        <v>0.5</v>
      </c>
      <c r="P36" s="10" t="str">
        <f ca="1">IFERROR(__xludf.DUMMYFUNCTION("""COMPUTED_VALUE"""),"Actualmente se encuentra en uso el software QUICK INFO, sistema enfocado en reportes e indicadores financieros. Se conecta a diferentes bases de datos, para realizar consulta información, con el fin de presentar los reportes que el usuario requiere, tenie"&amp;"ndo en cuenta los campos de las bases de datos. Se proyecta su utilización para la generación y manejo de indicadores. Interopera con las bases de datos de SAIA, SIIF financiero y precontractual, Aireplus.
 Actualmente es un software local, utilizado po"&amp;"r la Secretaría de Hacienda (Asuntos tributarios) y la Secretaría de Deportes.
 El sistema cuenta con los módulos: 
 Módulo de visor usuario normal,
 Módulo de reportes 
 Módulo de consulta(query)
 Módulo de cuadro de mando
 Módulo de indicadores
 Módul"&amp;"o de Administración")</f>
        <v>Actualmente se encuentra en uso el software QUICK INFO, sistema enfocado en reportes e indicadores financieros. Se conecta a diferentes bases de datos, para realizar consulta información, con el fin de presentar los reportes que el usuario requiere, teniendo en cuenta los campos de las bases de datos. Se proyecta su utilización para la generación y manejo de indicadores. Interopera con las bases de datos de SAIA, SIIF financiero y precontractual, Aireplus.
 Actualmente es un software local, utilizado por la Secretaría de Hacienda (Asuntos tributarios) y la Secretaría de Deportes.
 El sistema cuenta con los módulos: 
 Módulo de visor usuario normal,
 Módulo de reportes 
 Módulo de consulta(query)
 Módulo de cuadro de mando
 Módulo de indicadores
 Módulo de Administración</v>
      </c>
      <c r="Q36" s="11">
        <f ca="1">IFERROR(__xludf.DUMMYFUNCTION("""COMPUTED_VALUE"""),44834)</f>
        <v>44834</v>
      </c>
      <c r="R36" s="12"/>
      <c r="S36" s="10"/>
      <c r="T36" s="11"/>
      <c r="U36" s="10"/>
    </row>
    <row r="37" spans="1:21" ht="37.5" customHeight="1" x14ac:dyDescent="0.2">
      <c r="A37" s="10" t="str">
        <f ca="1">IFERROR(__xludf.DUMMYFUNCTION("""COMPUTED_VALUE"""),"Información y Comunicación")</f>
        <v>Información y Comunicación</v>
      </c>
      <c r="B37" s="10" t="str">
        <f ca="1">IFERROR(__xludf.DUMMYFUNCTION("""COMPUTED_VALUE"""),"Gestión de la Información Estadística")</f>
        <v>Gestión de la Información Estadística</v>
      </c>
      <c r="C37" s="10" t="str">
        <f ca="1">IFERROR(__xludf.DUMMYFUNCTION("""COMPUTED_VALUE"""),"La entidad usa mecanismos tecnológicos tales como servicios web, FTP o SDMX para la difusión y transferencia de información estadística")</f>
        <v>La entidad usa mecanismos tecnológicos tales como servicios web, FTP o SDMX para la difusión y transferencia de información estadística</v>
      </c>
      <c r="D37" s="10" t="str">
        <f ca="1">IFERROR(__xludf.DUMMYFUNCTION("""COMPUTED_VALUE"""),"Transferencia de información vía FTP y WEB")</f>
        <v>Transferencia de información vía FTP y WEB</v>
      </c>
      <c r="E37" s="10" t="str">
        <f ca="1">IFERROR(__xludf.DUMMYFUNCTION("""COMPUTED_VALUE"""),"Descarga de archivos vía FTP y WEB, en funcionamiento")</f>
        <v>Descarga de archivos vía FTP y WEB, en funcionamiento</v>
      </c>
      <c r="F37" s="11">
        <f ca="1">IFERROR(__xludf.DUMMYFUNCTION("""COMPUTED_VALUE"""),44470)</f>
        <v>44470</v>
      </c>
      <c r="G37" s="11">
        <f ca="1">IFERROR(__xludf.DUMMYFUNCTION("""COMPUTED_VALUE"""),45290)</f>
        <v>45290</v>
      </c>
      <c r="H37" s="10" t="str">
        <f ca="1">IFERROR(__xludf.DUMMYFUNCTION("""COMPUTED_VALUE"""),"SECRETARÍA DE LAS TICS")</f>
        <v>SECRETARÍA DE LAS TICS</v>
      </c>
      <c r="I37" s="12">
        <f ca="1">IFERROR(__xludf.DUMMYFUNCTION("""COMPUTED_VALUE"""),0.5)</f>
        <v>0.5</v>
      </c>
      <c r="J37" s="10" t="str">
        <f ca="1">IFERROR(__xludf.DUMMYFUNCTION("""COMPUTED_VALUE"""),"Desde la Secretaría de Tecnologías de la Información y la Comunicación, la Alcaldia cuenta con portal web https://www.pereira.gov.co/, en donde se habilitan los espacios requeridos para la publicación de la información. En relación a difusión de la inform"&amp;"ación, se realiza la actualización continua de los datos abiertos que se generan en la entidad. Datos abiertos: https://www.datos.gov.co/browse?q=alcald%C3%ADa%20de%20Pereira&amp;sortBy=relevance
Catálogo de datos abiertos vigente: https://www.pereira.gov.co/"&amp;"loader.php?lServicio=Tools2&amp;lTipo=descargas&amp;lFuncion=descargar&amp;idFile=48110")</f>
        <v>Desde la Secretaría de Tecnologías de la Información y la Comunicación, la Alcaldia cuenta con portal web https://www.pereira.gov.co/, en donde se habilitan los espacios requeridos para la publicación de la información. En relación a difusión de la información, se realiza la actualización continua de los datos abiertos que se generan en la entidad. Datos abiertos: https://www.datos.gov.co/browse?q=alcald%C3%ADa%20de%20Pereira&amp;sortBy=relevance
Catálogo de datos abiertos vigente: https://www.pereira.gov.co/loader.php?lServicio=Tools2&amp;lTipo=descargas&amp;lFuncion=descargar&amp;idFile=48110</v>
      </c>
      <c r="K37" s="11">
        <f ca="1">IFERROR(__xludf.DUMMYFUNCTION("""COMPUTED_VALUE"""),44650)</f>
        <v>44650</v>
      </c>
      <c r="L37" s="12">
        <f ca="1">IFERROR(__xludf.DUMMYFUNCTION("""COMPUTED_VALUE"""),0.5)</f>
        <v>0.5</v>
      </c>
      <c r="M37" s="10" t="str">
        <f ca="1">IFERROR(__xludf.DUMMYFUNCTION("""COMPUTED_VALUE"""),"Desde la Secretaría de Tecnologías de la Información y la Comunicación, la Alcaldia cuenta con portal web https://www.pereira.gov.co/, en donde se habilitan los espacios requeridos para la publicación de la información. En relación a difusión de la inform"&amp;"ación, se realiza la actualización continua de los datos abiertos que se generan en la entidad.
 Datos abiertos: https://www.datos.gov.co/browse?q=alcald%C3%ADa%20de%20Pereira&amp;sortBy=relevance
 Catálogo de datos abiertos vigente: https://www.pereira.g"&amp;"ov.co/loader.php?lServicio=Tools2&amp;lTipo=descargas&amp;lFuncion=descargar&amp;idFile=48110")</f>
        <v>Desde la Secretaría de Tecnologías de la Información y la Comunicación, la Alcaldia cuenta con portal web https://www.pereira.gov.co/, en donde se habilitan los espacios requeridos para la publicación de la información. En relación a difusión de la información, se realiza la actualización continua de los datos abiertos que se generan en la entidad.
 Datos abiertos: https://www.datos.gov.co/browse?q=alcald%C3%ADa%20de%20Pereira&amp;sortBy=relevance
 Catálogo de datos abiertos vigente: https://www.pereira.gov.co/loader.php?lServicio=Tools2&amp;lTipo=descargas&amp;lFuncion=descargar&amp;idFile=48110</v>
      </c>
      <c r="N37" s="11">
        <f ca="1">IFERROR(__xludf.DUMMYFUNCTION("""COMPUTED_VALUE"""),44742)</f>
        <v>44742</v>
      </c>
      <c r="O37" s="12">
        <f ca="1">IFERROR(__xludf.DUMMYFUNCTION("""COMPUTED_VALUE"""),0.5)</f>
        <v>0.5</v>
      </c>
      <c r="P37" s="10" t="str">
        <f ca="1">IFERROR(__xludf.DUMMYFUNCTION("""COMPUTED_VALUE"""),"Desde la Secretaría de Tecnologías de la Información y la Comunicación, la Alcaldia cuenta con portal web https://www.pereira.gov.co/, en donde se habilitan los espacios requeridos para la publicación de la información. En relación a difusión de la inform"&amp;"ación, se realiza la actualización continua de los datos abiertos que se generan en la entidad.
 Datos abiertos: https://www.datos.gov.co/browse?q=alcald%C3%ADa%20de%20Pereira&amp;sortBy=relevance
 Catálogo de datos abiertos vigente: https://www.pereira.g"&amp;"ov.co/loader.php?lServicio=Tools2&amp;lTipo=descargas&amp;lFuncion=descargar&amp;idFile=48110")</f>
        <v>Desde la Secretaría de Tecnologías de la Información y la Comunicación, la Alcaldia cuenta con portal web https://www.pereira.gov.co/, en donde se habilitan los espacios requeridos para la publicación de la información. En relación a difusión de la información, se realiza la actualización continua de los datos abiertos que se generan en la entidad.
 Datos abiertos: https://www.datos.gov.co/browse?q=alcald%C3%ADa%20de%20Pereira&amp;sortBy=relevance
 Catálogo de datos abiertos vigente: https://www.pereira.gov.co/loader.php?lServicio=Tools2&amp;lTipo=descargas&amp;lFuncion=descargar&amp;idFile=48110</v>
      </c>
      <c r="Q37" s="11">
        <f ca="1">IFERROR(__xludf.DUMMYFUNCTION("""COMPUTED_VALUE"""),44834)</f>
        <v>44834</v>
      </c>
      <c r="R37" s="12"/>
      <c r="S37" s="10"/>
      <c r="T37" s="11"/>
      <c r="U37" s="10"/>
    </row>
    <row r="38" spans="1:21" ht="37.5" customHeight="1" x14ac:dyDescent="0.2">
      <c r="A38" s="10" t="str">
        <f ca="1">IFERROR(__xludf.DUMMYFUNCTION("""COMPUTED_VALUE"""),"Información y Comunicación")</f>
        <v>Información y Comunicación</v>
      </c>
      <c r="B38" s="10" t="str">
        <f ca="1">IFERROR(__xludf.DUMMYFUNCTION("""COMPUTED_VALUE"""),"Gestión de la Información Estadística")</f>
        <v>Gestión de la Información Estadística</v>
      </c>
      <c r="C38" s="10" t="str">
        <f ca="1">IFERROR(__xludf.DUMMYFUNCTION("""COMPUTED_VALUE"""),"La entidad actualiza los riesgos de la seguridad de la información mediante procesos de mejora continua")</f>
        <v>La entidad actualiza los riesgos de la seguridad de la información mediante procesos de mejora continua</v>
      </c>
      <c r="D38" s="10" t="str">
        <f ca="1">IFERROR(__xludf.DUMMYFUNCTION("""COMPUTED_VALUE"""),"Actualización de los documentos: 
 Diagnóstico del Modelo de Seguridad y Privacidad de la información - Procedimientos de Seguridad y Privacidad de la información -  Plan de tratamiento de riesgos de seguridad de la información -  Mapa de Riesgos de Segur"&amp;"idad Digital")</f>
        <v>Actualización de los documentos: 
 Diagnóstico del Modelo de Seguridad y Privacidad de la información - Procedimientos de Seguridad y Privacidad de la información -  Plan de tratamiento de riesgos de seguridad de la información -  Mapa de Riesgos de Seguridad Digital</v>
      </c>
      <c r="E38" s="10" t="str">
        <f ca="1">IFERROR(__xludf.DUMMYFUNCTION("""COMPUTED_VALUE"""),"Documentos de Seguridad y Privacidad de la Información actualizados")</f>
        <v>Documentos de Seguridad y Privacidad de la Información actualizados</v>
      </c>
      <c r="F38" s="11">
        <f ca="1">IFERROR(__xludf.DUMMYFUNCTION("""COMPUTED_VALUE"""),44593)</f>
        <v>44593</v>
      </c>
      <c r="G38" s="11">
        <f ca="1">IFERROR(__xludf.DUMMYFUNCTION("""COMPUTED_VALUE"""),44925)</f>
        <v>44925</v>
      </c>
      <c r="H38" s="10" t="str">
        <f ca="1">IFERROR(__xludf.DUMMYFUNCTION("""COMPUTED_VALUE"""),"SECRETARÍA DE LAS TICS")</f>
        <v>SECRETARÍA DE LAS TICS</v>
      </c>
      <c r="I38" s="12"/>
      <c r="J38" s="10"/>
      <c r="K38" s="11"/>
      <c r="L38" s="12">
        <f ca="1">IFERROR(__xludf.DUMMYFUNCTION("""COMPUTED_VALUE"""),0.5)</f>
        <v>0.5</v>
      </c>
      <c r="M38" s="10" t="str">
        <f ca="1">IFERROR(__xludf.DUMMYFUNCTION("""COMPUTED_VALUE"""),"La Secretaría de Tecnologías de la Información y la Comunicación, cuenta con los procedimientos y políticas en cumplimiento del Modelo de Seguidad y Privacidad de la Información, que se actualizan de acuerdo con los lineamientos de MINTIC. Las versiones v"&amp;"igentes se encuentran publicadas en: 
POLÍTICA DE SEGURIDAD Y PRIVACIDAD DE LA INFORMACIÓN, DISPONIBLE EN https://www.pereira.gov.co/documentos/582/politica-de-seguridad-de-la-informacion/
 MANUAL DE POLÍTICAS DE SEGURIDAD Y PRIVACIDAD DE LA INFORMACI"&amp;"ÓN, DISPONIBLE EN SAIA / Módulo SIG / Promoción del Desarrollo Económico / Tecnología de la Información y la Comunicación / Otros documentos de calidad/ PDE_Manual_Politicas_MSPI_V3.pdf
 PLAN DE IMPLEMENTACIÓN DEL MODELO DE SEGURIDAD Y PRIVACIDAD DE LA "&amp;"INFORMACIÓN, DISPONIBLE EN 
 https://www.pereira.gov.co/loader.php?lServicio=Tools2&amp;lTipo=descargas&amp;lFuncion=descargar&amp;idFile=42601
 MAPA DE RIESGOS SEGURIDAD DIGITAL, DISPONIBLE EN
 SAIA / Módulo SIG / Promoción del Desarrollo Económico / Tecnología de"&amp;" la Información y la Comunicación / Otros documentos de calidad/ PDE_Mapa_de_Riesgos_Seguridad_Digital_V4.xlsx
 Boletines de Seguridad Digital: https://drive.google.com/drive/folders/1QDP8UtPw-HaSr2AAOnTrXtbCdJX3a8sY?usp=sharing")</f>
        <v>La Secretaría de Tecnologías de la Información y la Comunicación, cuenta con los procedimientos y políticas en cumplimiento del Modelo de Seguidad y Privacidad de la Información, que se actualizan de acuerdo con los lineamientos de MINTIC. Las versiones vigentes se encuentran publicadas en: 
POLÍTICA DE SEGURIDAD Y PRIVACIDAD DE LA INFORMACIÓN, DISPONIBLE EN https://www.pereira.gov.co/documentos/582/politica-de-seguridad-de-la-informacion/
 MANUAL DE POLÍTICAS DE SEGURIDAD Y PRIVACIDAD DE LA INFORMACIÓN, DISPONIBLE EN SAIA / Módulo SIG / Promoción del Desarrollo Económico / Tecnología de la Información y la Comunicación / Otros documentos de calidad/ PDE_Manual_Politicas_MSPI_V3.pdf
 PLAN DE IMPLEMENTACIÓN DEL MODELO DE SEGURIDAD Y PRIVACIDAD DE LA INFORMACIÓN, DISPONIBLE EN 
 https://www.pereira.gov.co/loader.php?lServicio=Tools2&amp;lTipo=descargas&amp;lFuncion=descargar&amp;idFile=42601
 MAPA DE RIESGOS SEGURIDAD DIGITAL, DISPONIBLE EN
 SAIA / Módulo SIG / Promoción del Desarrollo Económico / Tecnología de la Información y la Comunicación / Otros documentos de calidad/ PDE_Mapa_de_Riesgos_Seguridad_Digital_V4.xlsx
 Boletines de Seguridad Digital: https://drive.google.com/drive/folders/1QDP8UtPw-HaSr2AAOnTrXtbCdJX3a8sY?usp=sharing</v>
      </c>
      <c r="N38" s="11">
        <f ca="1">IFERROR(__xludf.DUMMYFUNCTION("""COMPUTED_VALUE"""),44742)</f>
        <v>44742</v>
      </c>
      <c r="O38" s="12">
        <f ca="1">IFERROR(__xludf.DUMMYFUNCTION("""COMPUTED_VALUE"""),0.5)</f>
        <v>0.5</v>
      </c>
      <c r="P38" s="10" t="str">
        <f ca="1">IFERROR(__xludf.DUMMYFUNCTION("""COMPUTED_VALUE"""),"La Secretaría de Tecnologías de la Información y la Comunicación, cuenta con los procedimientos y políticas en cumplimiento del Modelo de Seguidad y Privacidad de la Información, que se actualizan de acuerdo con los lineamientos de MINTIC. Las versiones v"&amp;"igentes se encuentran publicadas en: 
POLÍTICA DE SEGURIDAD Y PRIVACIDAD DE LA INFORMACIÓN, DISPONIBLE EN https://www.pereira.gov.co/documentos/582/politica-de-seguridad-de-la-informacion/
 MANUAL DE POLÍTICAS DE SEGURIDAD Y PRIVACIDAD DE LA INFORMACI"&amp;"ÓN, DISPONIBLE EN SAIA / Módulo SIG / Promoción del Desarrollo Económico / Tecnología de la Información y la Comunicación / Otros documentos de calidad/ PDE_Manual_Politicas_MSPI_V3.pdf
 PLAN DE IMPLEMENTACIÓN DEL MODELO DE SEGURIDAD Y PRIVACIDAD DE LA "&amp;"INFORMACIÓN, DISPONIBLE EN 
 https://www.pereira.gov.co/loader.php?lServicio=Tools2&amp;lTipo=descargas&amp;lFuncion=descargar&amp;idFile=42601
 MAPA DE RIESGOS SEGURIDAD DIGITAL, DISPONIBLE EN
 SAIA / Módulo SIG / Promoción del Desarrollo Económico / Tecnología de"&amp;" la Información y la Comunicación / Otros documentos de calidad/ PDE_Mapa_de_Riesgos_Seguridad_Digital_V4.xlsx
 Boletines de Seguridad Digital: https://drive.google.com/drive/folders/1QDP8UtPw-HaSr2AAOnTrXtbCdJX3a8sY?usp=sharing")</f>
        <v>La Secretaría de Tecnologías de la Información y la Comunicación, cuenta con los procedimientos y políticas en cumplimiento del Modelo de Seguidad y Privacidad de la Información, que se actualizan de acuerdo con los lineamientos de MINTIC. Las versiones vigentes se encuentran publicadas en: 
POLÍTICA DE SEGURIDAD Y PRIVACIDAD DE LA INFORMACIÓN, DISPONIBLE EN https://www.pereira.gov.co/documentos/582/politica-de-seguridad-de-la-informacion/
 MANUAL DE POLÍTICAS DE SEGURIDAD Y PRIVACIDAD DE LA INFORMACIÓN, DISPONIBLE EN SAIA / Módulo SIG / Promoción del Desarrollo Económico / Tecnología de la Información y la Comunicación / Otros documentos de calidad/ PDE_Manual_Politicas_MSPI_V3.pdf
 PLAN DE IMPLEMENTACIÓN DEL MODELO DE SEGURIDAD Y PRIVACIDAD DE LA INFORMACIÓN, DISPONIBLE EN 
 https://www.pereira.gov.co/loader.php?lServicio=Tools2&amp;lTipo=descargas&amp;lFuncion=descargar&amp;idFile=42601
 MAPA DE RIESGOS SEGURIDAD DIGITAL, DISPONIBLE EN
 SAIA / Módulo SIG / Promoción del Desarrollo Económico / Tecnología de la Información y la Comunicación / Otros documentos de calidad/ PDE_Mapa_de_Riesgos_Seguridad_Digital_V4.xlsx
 Boletines de Seguridad Digital: https://drive.google.com/drive/folders/1QDP8UtPw-HaSr2AAOnTrXtbCdJX3a8sY?usp=sharing</v>
      </c>
      <c r="Q38" s="11">
        <f ca="1">IFERROR(__xludf.DUMMYFUNCTION("""COMPUTED_VALUE"""),44834)</f>
        <v>44834</v>
      </c>
      <c r="R38" s="12"/>
      <c r="S38" s="10"/>
      <c r="T38" s="11"/>
      <c r="U38" s="10"/>
    </row>
    <row r="39" spans="1:21" ht="37.5" customHeight="1" x14ac:dyDescent="0.2">
      <c r="A39" s="10" t="str">
        <f ca="1">IFERROR(__xludf.DUMMYFUNCTION("""COMPUTED_VALUE"""),"Información y Comunicación")</f>
        <v>Información y Comunicación</v>
      </c>
      <c r="B39" s="10" t="str">
        <f ca="1">IFERROR(__xludf.DUMMYFUNCTION("""COMPUTED_VALUE"""),"Gestión de la Información Estadística")</f>
        <v>Gestión de la Información Estadística</v>
      </c>
      <c r="C39" s="10" t="str">
        <f ca="1">IFERROR(__xludf.DUMMYFUNCTION("""COMPUTED_VALUE"""),"Los procedimientos incluyen actividades de control en la recolección y transmisión de datos")</f>
        <v>Los procedimientos incluyen actividades de control en la recolección y transmisión de datos</v>
      </c>
      <c r="D39" s="10" t="str">
        <f ca="1">IFERROR(__xludf.DUMMYFUNCTION("""COMPUTED_VALUE"""),"Procedimientos para el control de recolección y transmisión de datos.")</f>
        <v>Procedimientos para el control de recolección y transmisión de datos.</v>
      </c>
      <c r="E39" s="10" t="str">
        <f ca="1">IFERROR(__xludf.DUMMYFUNCTION("""COMPUTED_VALUE"""),"Porcentaje de elaboración del procedimiento para la recolección y transmisión de datos.")</f>
        <v>Porcentaje de elaboración del procedimiento para la recolección y transmisión de datos.</v>
      </c>
      <c r="F39" s="11">
        <f ca="1">IFERROR(__xludf.DUMMYFUNCTION("""COMPUTED_VALUE"""),44743)</f>
        <v>44743</v>
      </c>
      <c r="G39" s="11">
        <f ca="1">IFERROR(__xludf.DUMMYFUNCTION("""COMPUTED_VALUE"""),45107)</f>
        <v>45107</v>
      </c>
      <c r="H39" s="10" t="str">
        <f ca="1">IFERROR(__xludf.DUMMYFUNCTION("""COMPUTED_VALUE"""),"SECRETARÍA DE LAS TICS")</f>
        <v>SECRETARÍA DE LAS TICS</v>
      </c>
      <c r="I39" s="12">
        <f ca="1">IFERROR(__xludf.DUMMYFUNCTION("""COMPUTED_VALUE"""),0.05)</f>
        <v>0.05</v>
      </c>
      <c r="J39" s="10" t="str">
        <f ca="1">IFERROR(__xludf.DUMMYFUNCTION("""COMPUTED_VALUE"""),"En proceso de revisión de la finalidad y alcance de la actividad.")</f>
        <v>En proceso de revisión de la finalidad y alcance de la actividad.</v>
      </c>
      <c r="K39" s="11">
        <f ca="1">IFERROR(__xludf.DUMMYFUNCTION("""COMPUTED_VALUE"""),44650)</f>
        <v>44650</v>
      </c>
      <c r="L39" s="12">
        <f ca="1">IFERROR(__xludf.DUMMYFUNCTION("""COMPUTED_VALUE"""),0.05)</f>
        <v>0.05</v>
      </c>
      <c r="M39" s="10" t="str">
        <f ca="1">IFERROR(__xludf.DUMMYFUNCTION("""COMPUTED_VALUE"""),"En proceso de revisión de la finalidad y alcance de la actividad.")</f>
        <v>En proceso de revisión de la finalidad y alcance de la actividad.</v>
      </c>
      <c r="N39" s="11">
        <f ca="1">IFERROR(__xludf.DUMMYFUNCTION("""COMPUTED_VALUE"""),44742)</f>
        <v>44742</v>
      </c>
      <c r="O39" s="12">
        <f ca="1">IFERROR(__xludf.DUMMYFUNCTION("""COMPUTED_VALUE"""),0.5)</f>
        <v>0.5</v>
      </c>
      <c r="P39" s="10" t="str">
        <f ca="1">IFERROR(__xludf.DUMMYFUNCTION("""COMPUTED_VALUE"""),"En proceso de revision de la finalidad y alcance de la actividad ")</f>
        <v xml:space="preserve">En proceso de revision de la finalidad y alcance de la actividad </v>
      </c>
      <c r="Q39" s="11">
        <f ca="1">IFERROR(__xludf.DUMMYFUNCTION("""COMPUTED_VALUE"""),44834)</f>
        <v>44834</v>
      </c>
      <c r="R39" s="12"/>
      <c r="S39" s="10"/>
      <c r="T39" s="11"/>
      <c r="U39" s="10"/>
    </row>
    <row r="40" spans="1:21" ht="37.5" customHeight="1" x14ac:dyDescent="0.2">
      <c r="A40" s="10" t="str">
        <f ca="1">IFERROR(__xludf.DUMMYFUNCTION("""COMPUTED_VALUE"""),"Información y Comunicación")</f>
        <v>Información y Comunicación</v>
      </c>
      <c r="B40" s="10" t="str">
        <f ca="1">IFERROR(__xludf.DUMMYFUNCTION("""COMPUTED_VALUE"""),"Gestión de la Información Estadística")</f>
        <v>Gestión de la Información Estadística</v>
      </c>
      <c r="C40" s="10" t="str">
        <f ca="1">IFERROR(__xludf.DUMMYFUNCTION("""COMPUTED_VALUE"""),"La entidad elabora y ejecuta los planes de mejoramiento para el fortalecimiento de registros administrativos misionales")</f>
        <v>La entidad elabora y ejecuta los planes de mejoramiento para el fortalecimiento de registros administrativos misionales</v>
      </c>
      <c r="D40" s="10" t="str">
        <f ca="1">IFERROR(__xludf.DUMMYFUNCTION("""COMPUTED_VALUE"""),"Implementación del programa de fortalecimiento y aprovechamiento de registros administrativos")</f>
        <v>Implementación del programa de fortalecimiento y aprovechamiento de registros administrativos</v>
      </c>
      <c r="E40"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40" s="11">
        <f ca="1">IFERROR(__xludf.DUMMYFUNCTION("""COMPUTED_VALUE"""),44621)</f>
        <v>44621</v>
      </c>
      <c r="G40" s="11">
        <f ca="1">IFERROR(__xludf.DUMMYFUNCTION("""COMPUTED_VALUE"""),45290)</f>
        <v>45290</v>
      </c>
      <c r="H40" s="10" t="str">
        <f ca="1">IFERROR(__xludf.DUMMYFUNCTION("""COMPUTED_VALUE"""),"SECRETARÍA DE PLANEACIÓN  Y ENTIDADES SISTEMA ESTADÍSTICO MUNICIPAL")</f>
        <v>SECRETARÍA DE PLANEACIÓN  Y ENTIDADES SISTEMA ESTADÍSTICO MUNICIPAL</v>
      </c>
      <c r="I40" s="12">
        <f ca="1">IFERROR(__xludf.DUMMYFUNCTION("""COMPUTED_VALUE"""),0.4)</f>
        <v>0.4</v>
      </c>
      <c r="J40"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reg"&amp;"istros administrativos, no incluyó los cursos de formación especializados en el tema de registros administrativos, y cuando se notificó a la Alcaldía no había disponibilidad de cupos. Otro atenuante es que el equipo del Sistema Estadístico se encuentra re"&amp;"alizando la formulación del Plan Estadístico.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v>
      </c>
      <c r="K40" s="11">
        <f ca="1">IFERROR(__xludf.DUMMYFUNCTION("""COMPUTED_VALUE"""),44650)</f>
        <v>44650</v>
      </c>
      <c r="L40" s="12">
        <f ca="1">IFERROR(__xludf.DUMMYFUNCTION("""COMPUTED_VALUE"""),0.5)</f>
        <v>0.5</v>
      </c>
      <c r="M40"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 solicita d a través de oficio diligenciar la matriz de identificación y caracterización de RRAA.")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 solicita d a través de oficio diligenciar la matriz de identificación y caracterización de RRAA.</v>
      </c>
      <c r="N40" s="11">
        <f ca="1">IFERROR(__xludf.DUMMYFUNCTION("""COMPUTED_VALUE"""),44742)</f>
        <v>44742</v>
      </c>
      <c r="O40" s="12">
        <f ca="1">IFERROR(__xludf.DUMMYFUNCTION("""COMPUTED_VALUE"""),0.5)</f>
        <v>0.5</v>
      </c>
      <c r="P40"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v>
      </c>
      <c r="Q40" s="11">
        <f ca="1">IFERROR(__xludf.DUMMYFUNCTION("""COMPUTED_VALUE"""),44834)</f>
        <v>44834</v>
      </c>
      <c r="R40" s="12">
        <f ca="1">IFERROR(__xludf.DUMMYFUNCTION("""COMPUTED_VALUE"""),0.85)</f>
        <v>0.85</v>
      </c>
      <c r="S40"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han venido realizando actividades priorizadas en el plan de trabajo y donde se ha llegado con algunas"&amp;" entidades cumpliendo con los parametros DANE.
se tiene un consolidado de los siguientes productos:
*Matriz de identificacion de potenciales RRAA
*Matriz equipo y necesidad 
*Diccionario de datos (tabla de referencia y reglas de validacion)
*Ficha técnica"&amp;"
*Formulario de caracterizacion")</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han venido realizando actividades priorizadas en el plan de trabajo y donde se ha llegado con algunas entidades cumpliendo con los parametros DANE.
se tiene un consolidado de los siguientes productos:
*Matriz de identificacion de potenciales RRAA
*Matriz equipo y necesidad 
*Diccionario de datos (tabla de referencia y reglas de validacion)
*Ficha técnica
*Formulario de caracterizacion</v>
      </c>
      <c r="T40" s="11">
        <f ca="1">IFERROR(__xludf.DUMMYFUNCTION("""COMPUTED_VALUE"""),44925)</f>
        <v>44925</v>
      </c>
      <c r="U40" s="10"/>
    </row>
    <row r="41" spans="1:21" ht="37.5" customHeight="1" x14ac:dyDescent="0.2">
      <c r="A41" s="10" t="str">
        <f ca="1">IFERROR(__xludf.DUMMYFUNCTION("""COMPUTED_VALUE"""),"Información y Comunicación")</f>
        <v>Información y Comunicación</v>
      </c>
      <c r="B41" s="10" t="str">
        <f ca="1">IFERROR(__xludf.DUMMYFUNCTION("""COMPUTED_VALUE"""),"Gestión de la Información Estadística")</f>
        <v>Gestión de la Información Estadística</v>
      </c>
      <c r="C41" s="10" t="str">
        <f ca="1">IFERROR(__xludf.DUMMYFUNCTION("""COMPUTED_VALUE"""),"La entidad documenta los registros administrativos misionales mediante:
 - Ficha técnica
 - Guía de recolección 
 - Diccionario de base de datos")</f>
        <v>La entidad documenta los registros administrativos misionales mediante:
 - Ficha técnica
 - Guía de recolección 
 - Diccionario de base de datos</v>
      </c>
      <c r="D41" s="10" t="str">
        <f ca="1">IFERROR(__xludf.DUMMYFUNCTION("""COMPUTED_VALUE"""),"Implementación del programa de fortalecimiento y aprovechamiento de registros administrativos")</f>
        <v>Implementación del programa de fortalecimiento y aprovechamiento de registros administrativos</v>
      </c>
      <c r="E41"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41" s="11">
        <f ca="1">IFERROR(__xludf.DUMMYFUNCTION("""COMPUTED_VALUE"""),44621)</f>
        <v>44621</v>
      </c>
      <c r="G41" s="11">
        <f ca="1">IFERROR(__xludf.DUMMYFUNCTION("""COMPUTED_VALUE"""),45290)</f>
        <v>45290</v>
      </c>
      <c r="H41" s="10" t="str">
        <f ca="1">IFERROR(__xludf.DUMMYFUNCTION("""COMPUTED_VALUE"""),"SECRETARÍA DE PLANEACIÓN  Y ENTIDADES SISTEMA ESTADÍSTICO MUNICIPAL")</f>
        <v>SECRETARÍA DE PLANEACIÓN  Y ENTIDADES SISTEMA ESTADÍSTICO MUNICIPAL</v>
      </c>
      <c r="I41" s="12">
        <f ca="1">IFERROR(__xludf.DUMMYFUNCTION("""COMPUTED_VALUE"""),0.4)</f>
        <v>0.4</v>
      </c>
      <c r="J4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reg"&amp;"istros administrativos, no incluyó los cursos de formación especializados en el tema de registros administrativos, y cuando se notificó a la Alcaldía no había disponibilidad de cupos. Otro atenuante es que el equipo del Sistema Estadístico se encuentra re"&amp;"alizando la formulación del Plan Estadístico.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v>
      </c>
      <c r="K41" s="11">
        <f ca="1">IFERROR(__xludf.DUMMYFUNCTION("""COMPUTED_VALUE"""),44650)</f>
        <v>44650</v>
      </c>
      <c r="L41" s="12">
        <f ca="1">IFERROR(__xludf.DUMMYFUNCTION("""COMPUTED_VALUE"""),0.5)</f>
        <v>0.5</v>
      </c>
      <c r="M4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 solicita d a través de oficio diligenciar la matriz de identificación y caracterización de RRAA.")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 solicita d a través de oficio diligenciar la matriz de identificación y caracterización de RRAA.</v>
      </c>
      <c r="N41" s="11">
        <f ca="1">IFERROR(__xludf.DUMMYFUNCTION("""COMPUTED_VALUE"""),44742)</f>
        <v>44742</v>
      </c>
      <c r="O41" s="12">
        <f ca="1">IFERROR(__xludf.DUMMYFUNCTION("""COMPUTED_VALUE"""),0.5)</f>
        <v>0.5</v>
      </c>
      <c r="P4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act"&amp;"ividad es un insumo para comenzar la implementación en el año 2022 del programa de fortalecimiento de registros administrativos.
 Nota: Si bien el DANE plantea una serie de actividades para desarrollar el programa de fortalecimiento y aprovechamiento de"&amp;" registros administrativos, no incluyó los cursos de formación especializados en el tema de registros administrativos, y cuando se notificó a la Alcaldía no había disponibilidad de cupos. Otro atenuante es que el equipo del Sistema Estadístico se encuentr"&amp;"a realizando la formulación del Plan Estadístico.
 16/09/2021: Capacitación Registros Administrativos dictada por el DANE en el marco de las capacitaciones del Sistema Estadístico Nacional. Por parte de la Alcaldía de Pereira asistieron los miembros de "&amp;"Comité Técnico de Estadística-CTE y las personas que manejan bases de datos en la Alcaldía de Pereira.
 07/04/2022: Taller de fortaleciiento y aprovechamiento de los Registros Administrativos dictada por el DANE en el marco de las capacitaciones del Sis"&amp;"tema Estadístico Nacional. Por parte de la Alcaldía de Pereira asistieron los miembros de Comité Técnico de Estadística-CTE y las personas que manejan bases de datos en la Alcaldía de Pereira.
 Se cuenta de un inventario y carterizacion de los registros"&amp;" administrativos plan estadistico, plan de accion.
Se entrega la matriz de caracterizacion de los registros administrativos de la alcaldia de Pereira.")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v>
      </c>
      <c r="Q41" s="11">
        <f ca="1">IFERROR(__xludf.DUMMYFUNCTION("""COMPUTED_VALUE"""),44834)</f>
        <v>44834</v>
      </c>
      <c r="R41" s="12">
        <f ca="1">IFERROR(__xludf.DUMMYFUNCTION("""COMPUTED_VALUE"""),0.85)</f>
        <v>0.85</v>
      </c>
      <c r="S4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han venido realizando actividades priorizadas en el plan de trabajo y donde se ha llegado con algunas"&amp;" entidades cumpliendo con los parametros DANE.
se tiene un consolidado de los siguientes productos:
*Matriz de identificacion de potenciales RRAA
*Matriz equipo y necesidad 
*Diccionario de datos (tabla de referencia y reglas de validacion)
*Ficha técnica"&amp;"
*Formulario de caracterizacion")</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han venido realizando actividades priorizadas en el plan de trabajo y donde se ha llegado con algunas entidades cumpliendo con los parametros DANE.
se tiene un consolidado de los siguientes productos:
*Matriz de identificacion de potenciales RRAA
*Matriz equipo y necesidad 
*Diccionario de datos (tabla de referencia y reglas de validacion)
*Ficha técnica
*Formulario de caracterizacion</v>
      </c>
      <c r="T41" s="11">
        <f ca="1">IFERROR(__xludf.DUMMYFUNCTION("""COMPUTED_VALUE"""),44925)</f>
        <v>44925</v>
      </c>
      <c r="U41" s="10"/>
    </row>
    <row r="42" spans="1:21" ht="37.5" customHeight="1" x14ac:dyDescent="0.2">
      <c r="A42" s="10" t="str">
        <f ca="1">IFERROR(__xludf.DUMMYFUNCTION("""COMPUTED_VALUE"""),"Información y Comunicación")</f>
        <v>Información y Comunicación</v>
      </c>
      <c r="B42" s="10" t="str">
        <f ca="1">IFERROR(__xludf.DUMMYFUNCTION("""COMPUTED_VALUE"""),"Gestión de la Información Estadística")</f>
        <v>Gestión de la Información Estadística</v>
      </c>
      <c r="C42" s="10" t="str">
        <f ca="1">IFERROR(__xludf.DUMMYFUNCTION("""COMPUTED_VALUE"""),"La entidad cuenta con reglas de validación para la recolección de los datos de sus registros administrativos misionales")</f>
        <v>La entidad cuenta con reglas de validación para la recolección de los datos de sus registros administrativos misionales</v>
      </c>
      <c r="D42" s="10" t="str">
        <f ca="1">IFERROR(__xludf.DUMMYFUNCTION("""COMPUTED_VALUE"""),"Implementación del programa de fortalecimiento y aprovechamiento de registros administrativos")</f>
        <v>Implementación del programa de fortalecimiento y aprovechamiento de registros administrativos</v>
      </c>
      <c r="E42"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42" s="11">
        <f ca="1">IFERROR(__xludf.DUMMYFUNCTION("""COMPUTED_VALUE"""),44621)</f>
        <v>44621</v>
      </c>
      <c r="G42" s="11">
        <f ca="1">IFERROR(__xludf.DUMMYFUNCTION("""COMPUTED_VALUE"""),45290)</f>
        <v>45290</v>
      </c>
      <c r="H42" s="10" t="str">
        <f ca="1">IFERROR(__xludf.DUMMYFUNCTION("""COMPUTED_VALUE"""),"SECRETARÍA DE PLANEACIÓN  Y ENTIDADES SISTEMA ESTADÍSTICO MUNICIPAL")</f>
        <v>SECRETARÍA DE PLANEACIÓN  Y ENTIDADES SISTEMA ESTADÍSTICO MUNICIPAL</v>
      </c>
      <c r="I42" s="12">
        <f ca="1">IFERROR(__xludf.DUMMYFUNCTION("""COMPUTED_VALUE"""),0.4)</f>
        <v>0.4</v>
      </c>
      <c r="J4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reg"&amp;"istros administrativos, no incluyó los cursos de formación especializados en el tema de registros administrativos, y cuando se notificó a la Alcaldía no había disponibilidad de cupos. Otro atenuante es que el equipo del Sistema Estadístico se encuentra re"&amp;"alizando la formulación del Plan Estadístico.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v>
      </c>
      <c r="K42" s="11">
        <f ca="1">IFERROR(__xludf.DUMMYFUNCTION("""COMPUTED_VALUE"""),44650)</f>
        <v>44650</v>
      </c>
      <c r="L42" s="12">
        <f ca="1">IFERROR(__xludf.DUMMYFUNCTION("""COMPUTED_VALUE"""),0.5)</f>
        <v>0.5</v>
      </c>
      <c r="M4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 solicita d a través de oficio diligenciar la matriz de identificación y caracterización de RRAA.")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 solicita d a través de oficio diligenciar la matriz de identificación y caracterización de RRAA.</v>
      </c>
      <c r="N42" s="11">
        <f ca="1">IFERROR(__xludf.DUMMYFUNCTION("""COMPUTED_VALUE"""),44742)</f>
        <v>44742</v>
      </c>
      <c r="O42" s="12">
        <f ca="1">IFERROR(__xludf.DUMMYFUNCTION("""COMPUTED_VALUE"""),0.5)</f>
        <v>0.5</v>
      </c>
      <c r="P4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42" s="11">
        <f ca="1">IFERROR(__xludf.DUMMYFUNCTION("""COMPUTED_VALUE"""),44834)</f>
        <v>44834</v>
      </c>
      <c r="R42" s="12">
        <f ca="1">IFERROR(__xludf.DUMMYFUNCTION("""COMPUTED_VALUE"""),0.85)</f>
        <v>0.85</v>
      </c>
      <c r="S4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han venido realizando actividades priorizadas en el plan de trabajo y donde se ha llegado con algunas"&amp;" entidades cumpliendo con los parametros DANE.
se tiene un consolidado de los siguientes productos:
*Matriz de identificacion de potenciales RRAA
*Matriz equipo y necesidad 
*Diccionario de datos (tabla de referencia y reglas de validacion)
*Ficha técnica"&amp;"
*Formulario de caracterizacion")</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han venido realizando actividades priorizadas en el plan de trabajo y donde se ha llegado con algunas entidades cumpliendo con los parametros DANE.
se tiene un consolidado de los siguientes productos:
*Matriz de identificacion de potenciales RRAA
*Matriz equipo y necesidad 
*Diccionario de datos (tabla de referencia y reglas de validacion)
*Ficha técnica
*Formulario de caracterizacion</v>
      </c>
      <c r="T42" s="11">
        <f ca="1">IFERROR(__xludf.DUMMYFUNCTION("""COMPUTED_VALUE"""),44925)</f>
        <v>44925</v>
      </c>
      <c r="U42" s="10"/>
    </row>
    <row r="43" spans="1:21" ht="37.5" customHeight="1" x14ac:dyDescent="0.2">
      <c r="A43" s="10" t="str">
        <f ca="1">IFERROR(__xludf.DUMMYFUNCTION("""COMPUTED_VALUE"""),"Información y Comunicación")</f>
        <v>Información y Comunicación</v>
      </c>
      <c r="B43" s="10" t="str">
        <f ca="1">IFERROR(__xludf.DUMMYFUNCTION("""COMPUTED_VALUE"""),"Gestión de la Información Estadística")</f>
        <v>Gestión de la Información Estadística</v>
      </c>
      <c r="C43" s="10" t="str">
        <f ca="1">IFERROR(__xludf.DUMMYFUNCTION("""COMPUTED_VALUE"""),"La entidad desarrolla procesos de anonimización en las bases de datos (de Registros administrativos y operaciones estadísticas) que contiene información sensible de las unidades de observación")</f>
        <v>La entidad desarrolla procesos de anonimización en las bases de datos (de Registros administrativos y operaciones estadísticas) que contiene información sensible de las unidades de observación</v>
      </c>
      <c r="D43" s="10" t="str">
        <f ca="1">IFERROR(__xludf.DUMMYFUNCTION("""COMPUTED_VALUE"""),"Implementación del programa de fortalecimiento y aprovechamiento de registros administrativos")</f>
        <v>Implementación del programa de fortalecimiento y aprovechamiento de registros administrativos</v>
      </c>
      <c r="E43"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43" s="11">
        <f ca="1">IFERROR(__xludf.DUMMYFUNCTION("""COMPUTED_VALUE"""),44621)</f>
        <v>44621</v>
      </c>
      <c r="G43" s="11">
        <f ca="1">IFERROR(__xludf.DUMMYFUNCTION("""COMPUTED_VALUE"""),45290)</f>
        <v>45290</v>
      </c>
      <c r="H43" s="10" t="str">
        <f ca="1">IFERROR(__xludf.DUMMYFUNCTION("""COMPUTED_VALUE"""),"SECRETARÍA DE PLANEACIÓN  Y ENTIDADES SISTEMA ESTADÍSTICO MUNICIPAL")</f>
        <v>SECRETARÍA DE PLANEACIÓN  Y ENTIDADES SISTEMA ESTADÍSTICO MUNICIPAL</v>
      </c>
      <c r="I43" s="12">
        <f ca="1">IFERROR(__xludf.DUMMYFUNCTION("""COMPUTED_VALUE"""),0.4)</f>
        <v>0.4</v>
      </c>
      <c r="J4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reg"&amp;"istros administrativos, no incluyó los cursos de formación especializados en el tema de registros administrativos, y cuando se notificó a la Alcaldía no había disponibilidad de cupos. Otro atenuante es que el equipo del Sistema Estadístico se encuentra re"&amp;"alizando la formulación del Plan Estadístico.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v>
      </c>
      <c r="K43" s="11">
        <f ca="1">IFERROR(__xludf.DUMMYFUNCTION("""COMPUTED_VALUE"""),44650)</f>
        <v>44650</v>
      </c>
      <c r="L43" s="12">
        <f ca="1">IFERROR(__xludf.DUMMYFUNCTION("""COMPUTED_VALUE"""),0.5)</f>
        <v>0.5</v>
      </c>
      <c r="M4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 solicita d a través de oficio diligenciar la matriz de identificación y caracterización de RRAA.")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 solicita d a través de oficio diligenciar la matriz de identificación y caracterización de RRAA.</v>
      </c>
      <c r="N43" s="11">
        <f ca="1">IFERROR(__xludf.DUMMYFUNCTION("""COMPUTED_VALUE"""),44742)</f>
        <v>44742</v>
      </c>
      <c r="O43" s="12">
        <f ca="1">IFERROR(__xludf.DUMMYFUNCTION("""COMPUTED_VALUE"""),0.5)</f>
        <v>0.5</v>
      </c>
      <c r="P4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regi"&amp;"stros administrativos, no incluyó los cursos de formación especializados en el tema de registros administrativos, y cuando se notificó a la Alcaldía no había disponibilidad de cupos. Otro atenuante es que el equipo del Sistema Estadístico se encuentra rea"&amp;"lizando la formulación del Plan Estadístico. 16/09/2021: Capacitación Registros Administrativos dictada por el DANE en el marco de las capacitaciones del Sistema Estadístico Nacional. Por parte de la Alcaldía de Pereira asistieron los miembros de Comité T"&amp;"écnico de Estadística-CTE y las personas que manejan bases de datos en la Alcaldía de Pereira. 07/04/2022: Taller de fortaleciiento y aprovechamiento de los Registros Administrativos dictada por el DANE en el marco de las capacitaciones del Sistema Estadí"&amp;"stico Nacional. Por parte de la Alcaldía de Pereira asistieron los miembros de Comité Técnico de Estadística-CTE y las personas que manejan bases de datos en la Alcaldía de Pereira. Se cuenta de un inventario y carterizacion de los registros administrativ"&amp;"os plan estadistico, plan de accion. Se entrega la matriz de caracterizacion de los registros administrativos de la alcaldia de Pereira.")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v>
      </c>
      <c r="Q43" s="11">
        <f ca="1">IFERROR(__xludf.DUMMYFUNCTION("""COMPUTED_VALUE"""),44834)</f>
        <v>44834</v>
      </c>
      <c r="R43" s="12">
        <f ca="1">IFERROR(__xludf.DUMMYFUNCTION("""COMPUTED_VALUE"""),0.5)</f>
        <v>0.5</v>
      </c>
      <c r="S4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regi"&amp;"stros administrativos, no incluyó los cursos de formación especializados en el tema de registros administrativos, y cuando se notificó a la Alcaldía no había disponibilidad de cupos. Otro atenuante es que el equipo del Sistema Estadístico se encuentra rea"&amp;"lizando la formulación del Plan Estadístico. 16/09/2021: Capacitación Registros Administrativos dictada por el DANE en el marco de las capacitaciones del Sistema Estadístico Nacional. Por parte de la Alcaldía de Pereira asistieron los miembros de Comité T"&amp;"écnico de Estadística-CTE y las personas que manejan bases de datos en la Alcaldía de Pereira. 07/04/2022: Taller de fortaleciiento y aprovechamiento de los Registros Administrativos dictada por el DANE en el marco de las capacitaciones del Sistema Estadí"&amp;"stico Nacional. Por parte de la Alcaldía de Pereira asistieron los miembros de Comité Técnico de Estadística-CTE y las personas que manejan bases de datos en la Alcaldía de Pereira. Se cuenta de un inventario y carterizacion de los registros administrativ"&amp;"os plan estadistico, plan de accion. Se entrega la matriz de caracterizacion de los registros administrativos de la alcaldia de Pereira.")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v>
      </c>
      <c r="T43" s="11">
        <f ca="1">IFERROR(__xludf.DUMMYFUNCTION("""COMPUTED_VALUE"""),44925)</f>
        <v>44925</v>
      </c>
      <c r="U43" s="10"/>
    </row>
    <row r="44" spans="1:21" ht="37.5" customHeight="1" x14ac:dyDescent="0.2">
      <c r="A44" s="10" t="str">
        <f ca="1">IFERROR(__xludf.DUMMYFUNCTION("""COMPUTED_VALUE"""),"Información y Comunicación")</f>
        <v>Información y Comunicación</v>
      </c>
      <c r="B44" s="10" t="str">
        <f ca="1">IFERROR(__xludf.DUMMYFUNCTION("""COMPUTED_VALUE"""),"Gestión de la Información Estadística")</f>
        <v>Gestión de la Información Estadística</v>
      </c>
      <c r="C44" s="10" t="str">
        <f ca="1">IFERROR(__xludf.DUMMYFUNCTION("""COMPUTED_VALUE"""),"La entidad diseña nuevos registros administrativos, a partir de las necesidades de información identificadas.")</f>
        <v>La entidad diseña nuevos registros administrativos, a partir de las necesidades de información identificadas.</v>
      </c>
      <c r="D44" s="10" t="str">
        <f ca="1">IFERROR(__xludf.DUMMYFUNCTION("""COMPUTED_VALUE"""),"Implementación del programa de fortalecimiento y aprovechamiento de registros administrativos")</f>
        <v>Implementación del programa de fortalecimiento y aprovechamiento de registros administrativos</v>
      </c>
      <c r="E44"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44" s="11">
        <f ca="1">IFERROR(__xludf.DUMMYFUNCTION("""COMPUTED_VALUE"""),44621)</f>
        <v>44621</v>
      </c>
      <c r="G44" s="11">
        <f ca="1">IFERROR(__xludf.DUMMYFUNCTION("""COMPUTED_VALUE"""),45290)</f>
        <v>45290</v>
      </c>
      <c r="H44" s="10" t="str">
        <f ca="1">IFERROR(__xludf.DUMMYFUNCTION("""COMPUTED_VALUE"""),"SECRETARÍA DE PLANEACIÓN  Y ENTIDADES SISTEMA ESTADÍSTICO MUNICIPAL")</f>
        <v>SECRETARÍA DE PLANEACIÓN  Y ENTIDADES SISTEMA ESTADÍSTICO MUNICIPAL</v>
      </c>
      <c r="I44" s="12">
        <f ca="1">IFERROR(__xludf.DUMMYFUNCTION("""COMPUTED_VALUE"""),0.4)</f>
        <v>0.4</v>
      </c>
      <c r="J4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reg"&amp;"istros administrativos, no incluyó los cursos de formación especializados en el tema de registros administrativos, y cuando se notificó a la Alcaldía no había disponibilidad de cupos. Otro atenuante es que el equipo del Sistema Estadístico se encuentra re"&amp;"alizando la formulación del Plan Estadístico.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v>
      </c>
      <c r="K44" s="11">
        <f ca="1">IFERROR(__xludf.DUMMYFUNCTION("""COMPUTED_VALUE"""),44650)</f>
        <v>44650</v>
      </c>
      <c r="L44" s="12">
        <f ca="1">IFERROR(__xludf.DUMMYFUNCTION("""COMPUTED_VALUE"""),0.5)</f>
        <v>0.5</v>
      </c>
      <c r="M4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 solicita d a través de oficio diligenciar la matriz de identificación y caracterización de RRAA.")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 solicita d a través de oficio diligenciar la matriz de identificación y caracterización de RRAA.</v>
      </c>
      <c r="N44" s="11">
        <f ca="1">IFERROR(__xludf.DUMMYFUNCTION("""COMPUTED_VALUE"""),44742)</f>
        <v>44742</v>
      </c>
      <c r="O44" s="12">
        <f ca="1">IFERROR(__xludf.DUMMYFUNCTION("""COMPUTED_VALUE"""),0.5)</f>
        <v>0.5</v>
      </c>
      <c r="P4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44" s="11">
        <f ca="1">IFERROR(__xludf.DUMMYFUNCTION("""COMPUTED_VALUE"""),44834)</f>
        <v>44834</v>
      </c>
      <c r="R44" s="12">
        <f ca="1">IFERROR(__xludf.DUMMYFUNCTION("""COMPUTED_VALUE"""),0.5)</f>
        <v>0.5</v>
      </c>
      <c r="S4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T44" s="11">
        <f ca="1">IFERROR(__xludf.DUMMYFUNCTION("""COMPUTED_VALUE"""),44925)</f>
        <v>44925</v>
      </c>
      <c r="U44" s="10"/>
    </row>
    <row r="45" spans="1:21" ht="37.5" customHeight="1" x14ac:dyDescent="0.2">
      <c r="A45" s="10" t="str">
        <f ca="1">IFERROR(__xludf.DUMMYFUNCTION("""COMPUTED_VALUE"""),"Información y Comunicación")</f>
        <v>Información y Comunicación</v>
      </c>
      <c r="B45" s="10" t="str">
        <f ca="1">IFERROR(__xludf.DUMMYFUNCTION("""COMPUTED_VALUE"""),"Gestión de la Información Estadística")</f>
        <v>Gestión de la Información Estadística</v>
      </c>
      <c r="C45" s="10" t="str">
        <f ca="1">IFERROR(__xludf.DUMMYFUNCTION("""COMPUTED_VALUE"""),"Organizar, clasificar y validar los datos e información para documentar las operaciones estadísticas de la entidad.")</f>
        <v>Organizar, clasificar y validar los datos e información para documentar las operaciones estadísticas de la entidad.</v>
      </c>
      <c r="D45" s="10" t="str">
        <f ca="1">IFERROR(__xludf.DUMMYFUNCTION("""COMPUTED_VALUE"""),"Documentación Regitros Administrativos.")</f>
        <v>Documentación Regitros Administrativos.</v>
      </c>
      <c r="E45" s="10" t="str">
        <f ca="1">IFERROR(__xludf.DUMMYFUNCTION("""COMPUTED_VALUE"""),"Porcentaje de implementación del proceso de fortalecimiento y aprovechamiento de registros administrativos.")</f>
        <v>Porcentaje de implementación del proceso de fortalecimiento y aprovechamiento de registros administrativos.</v>
      </c>
      <c r="F45" s="11">
        <f ca="1">IFERROR(__xludf.DUMMYFUNCTION("""COMPUTED_VALUE"""),44650)</f>
        <v>44650</v>
      </c>
      <c r="G45" s="11">
        <f ca="1">IFERROR(__xludf.DUMMYFUNCTION("""COMPUTED_VALUE"""),44926)</f>
        <v>44926</v>
      </c>
      <c r="H45" s="10" t="str">
        <f ca="1">IFERROR(__xludf.DUMMYFUNCTION("""COMPUTED_VALUE"""),"SECRETARÍA DE PLANEACIÓN Y ENTIDADES SISTEMA ESTADÍSTICO MUNICIPAL")</f>
        <v>SECRETARÍA DE PLANEACIÓN Y ENTIDADES SISTEMA ESTADÍSTICO MUNICIPAL</v>
      </c>
      <c r="I45" s="12"/>
      <c r="J45" s="10"/>
      <c r="K45" s="11"/>
      <c r="L45" s="12">
        <f ca="1">IFERROR(__xludf.DUMMYFUNCTION("""COMPUTED_VALUE"""),0.4)</f>
        <v>0.4</v>
      </c>
      <c r="M45" s="10" t="str">
        <f ca="1">IFERROR(__xludf.DUMMYFUNCTION("""COMPUTED_VALUE"""),"Cuadro de reportes de entrega de documentación (matriz, formatos) solicitada, actas de talleres relizados. Invetnario de Documentación.")</f>
        <v>Cuadro de reportes de entrega de documentación (matriz, formatos) solicitada, actas de talleres relizados. Invetnario de Documentación.</v>
      </c>
      <c r="N45" s="11">
        <f ca="1">IFERROR(__xludf.DUMMYFUNCTION("""COMPUTED_VALUE"""),44742)</f>
        <v>44742</v>
      </c>
      <c r="O45" s="12">
        <f ca="1">IFERROR(__xludf.DUMMYFUNCTION("""COMPUTED_VALUE"""),0.5)</f>
        <v>0.5</v>
      </c>
      <c r="P45"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45" s="11">
        <f ca="1">IFERROR(__xludf.DUMMYFUNCTION("""COMPUTED_VALUE"""),44834)</f>
        <v>44834</v>
      </c>
      <c r="R45" s="12">
        <f ca="1">IFERROR(__xludf.DUMMYFUNCTION("""COMPUTED_VALUE"""),0.5)</f>
        <v>0.5</v>
      </c>
      <c r="S45"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T45" s="11">
        <f ca="1">IFERROR(__xludf.DUMMYFUNCTION("""COMPUTED_VALUE"""),44925)</f>
        <v>44925</v>
      </c>
      <c r="U45" s="10"/>
    </row>
    <row r="46" spans="1:21" ht="37.5" customHeight="1" x14ac:dyDescent="0.2">
      <c r="A46" s="10" t="str">
        <f ca="1">IFERROR(__xludf.DUMMYFUNCTION("""COMPUTED_VALUE"""),"Información y Comunicación")</f>
        <v>Información y Comunicación</v>
      </c>
      <c r="B46" s="10" t="str">
        <f ca="1">IFERROR(__xludf.DUMMYFUNCTION("""COMPUTED_VALUE"""),"Gestión de la Información Estadística")</f>
        <v>Gestión de la Información Estadística</v>
      </c>
      <c r="C46" s="10" t="str">
        <f ca="1">IFERROR(__xludf.DUMMYFUNCTION("""COMPUTED_VALUE"""),"Analizar si los recursos financieros asignado en la entidad, para la generación, procesamiento, análisis y difusión de información estadística, son suficientes y establecer las acciones necesarias para su disponibilidad en el corto, mediano y largo plazo."&amp;" (el no 5 es el mismo 4)")</f>
        <v>Analizar si los recursos financieros asignado en la entidad, para la generación, procesamiento, análisis y difusión de información estadística, son suficientes y establecer las acciones necesarias para su disponibilidad en el corto, mediano y largo plazo. (el no 5 es el mismo 4)</v>
      </c>
      <c r="D46" s="10" t="str">
        <f ca="1">IFERROR(__xludf.DUMMYFUNCTION("""COMPUTED_VALUE"""),"Recursos Financieros asignados por la Alcaldía")</f>
        <v>Recursos Financieros asignados por la Alcaldía</v>
      </c>
      <c r="E46" s="10" t="str">
        <f ca="1">IFERROR(__xludf.DUMMYFUNCTION("""COMPUTED_VALUE"""),"Numero de personal contratado para el CTE")</f>
        <v>Numero de personal contratado para el CTE</v>
      </c>
      <c r="F46" s="11">
        <f ca="1">IFERROR(__xludf.DUMMYFUNCTION("""COMPUTED_VALUE"""),44774)</f>
        <v>44774</v>
      </c>
      <c r="G46" s="11">
        <f ca="1">IFERROR(__xludf.DUMMYFUNCTION("""COMPUTED_VALUE"""),44926)</f>
        <v>44926</v>
      </c>
      <c r="H46" s="10" t="str">
        <f ca="1">IFERROR(__xludf.DUMMYFUNCTION("""COMPUTED_VALUE"""),"SECRETARÍA DE PLANEACIÓN Y ENTIDADES SISTEMA ESTADÍSTICO MUNICIPAL")</f>
        <v>SECRETARÍA DE PLANEACIÓN Y ENTIDADES SISTEMA ESTADÍSTICO MUNICIPAL</v>
      </c>
      <c r="I46" s="12"/>
      <c r="J46" s="10"/>
      <c r="K46" s="11"/>
      <c r="L46" s="12">
        <f ca="1">IFERROR(__xludf.DUMMYFUNCTION("""COMPUTED_VALUE"""),0.5)</f>
        <v>0.5</v>
      </c>
      <c r="M46" s="10" t="str">
        <f ca="1">IFERROR(__xludf.DUMMYFUNCTION("""COMPUTED_VALUE"""),"Encuesta 2021")</f>
        <v>Encuesta 2021</v>
      </c>
      <c r="N46" s="11">
        <f ca="1">IFERROR(__xludf.DUMMYFUNCTION("""COMPUTED_VALUE"""),44742)</f>
        <v>44742</v>
      </c>
      <c r="O46" s="12">
        <f ca="1">IFERROR(__xludf.DUMMYFUNCTION("""COMPUTED_VALUE"""),0.5)</f>
        <v>0.5</v>
      </c>
      <c r="P46" s="10" t="str">
        <f ca="1">IFERROR(__xludf.DUMMYFUNCTION("""COMPUTED_VALUE"""),"Resultados obtenidos por la encuesta sobre recursos humanos y finandieros para el SEN para el 1° semestre ")</f>
        <v xml:space="preserve">Resultados obtenidos por la encuesta sobre recursos humanos y finandieros para el SEN para el 1° semestre </v>
      </c>
      <c r="Q46" s="11">
        <f ca="1">IFERROR(__xludf.DUMMYFUNCTION("""COMPUTED_VALUE"""),44834)</f>
        <v>44834</v>
      </c>
      <c r="R46" s="12">
        <f ca="1">IFERROR(__xludf.DUMMYFUNCTION("""COMPUTED_VALUE"""),1)</f>
        <v>1</v>
      </c>
      <c r="S46" s="10" t="str">
        <f ca="1">IFERROR(__xludf.DUMMYFUNCTION("""COMPUTED_VALUE"""),"ENCUESTA RECURSO SISTEMA ESTADÍSTICO ALCALDÍA DE PEREIRA: SE CUANTIFICÓ EN PESOS EL VALOR SALARIAL DE LOS SERVIDORES PÚBLICOS QUE ESTÁN TRABAJANDO ACTUALMENTE EN EL SISTEMA ESTADÍSTICO MUNICIPAL DE LA ALCALDÍA DE PEREIRA, ESTE SISTEMA FUE CREADO MEDIANTE "&amp;"EL DECRETO 923 DE 2019. 2021: EN TOTAL HAY 47 SERVIDORES PÚBLICOS TRABAJANDO EN EL TEMA ESTADÍSTICO, QUE EQUIVALEN A $ 36.124.086 VALOR POR MES. 2022: EN TOTAL HAY 57 SERVIDORES PÚBLICOS TRABAJANDO EN EL TEMA ESTADÍSTICO, QUE EQUIVALEN A $ 50,222,105 VALO"&amp;"R POR MES")</f>
        <v>ENCUESTA RECURSO SISTEMA ESTADÍSTICO ALCALDÍA DE PEREIRA: SE CUANTIFICÓ EN PESOS EL VALOR SALARIAL DE LOS SERVIDORES PÚBLICOS QUE ESTÁN TRABAJANDO ACTUALMENTE EN EL SISTEMA ESTADÍSTICO MUNICIPAL DE LA ALCALDÍA DE PEREIRA, ESTE SISTEMA FUE CREADO MEDIANTE EL DECRETO 923 DE 2019. 2021: EN TOTAL HAY 47 SERVIDORES PÚBLICOS TRABAJANDO EN EL TEMA ESTADÍSTICO, QUE EQUIVALEN A $ 36.124.086 VALOR POR MES. 2022: EN TOTAL HAY 57 SERVIDORES PÚBLICOS TRABAJANDO EN EL TEMA ESTADÍSTICO, QUE EQUIVALEN A $ 50,222,105 VALOR POR MES</v>
      </c>
      <c r="T46" s="11">
        <f ca="1">IFERROR(__xludf.DUMMYFUNCTION("""COMPUTED_VALUE"""),44925)</f>
        <v>44925</v>
      </c>
      <c r="U46" s="10"/>
    </row>
    <row r="47" spans="1:21" ht="37.5" customHeight="1" x14ac:dyDescent="0.2">
      <c r="A47" s="10" t="str">
        <f ca="1">IFERROR(__xludf.DUMMYFUNCTION("""COMPUTED_VALUE"""),"Información y Comunicación")</f>
        <v>Información y Comunicación</v>
      </c>
      <c r="B47" s="10" t="str">
        <f ca="1">IFERROR(__xludf.DUMMYFUNCTION("""COMPUTED_VALUE"""),"Gestión de la Información Estadística")</f>
        <v>Gestión de la Información Estadística</v>
      </c>
      <c r="C47" s="10" t="str">
        <f ca="1">IFERROR(__xludf.DUMMYFUNCTION("""COMPUTED_VALUE"""),"Implementar en los procesos de producción de información estadística de la entidad, los lineamientos del proceso estadístico definidos por el DANE.")</f>
        <v>Implementar en los procesos de producción de información estadística de la entidad, los lineamientos del proceso estadístico definidos por el DANE.</v>
      </c>
      <c r="D47" s="10" t="str">
        <f ca="1">IFERROR(__xludf.DUMMYFUNCTION("""COMPUTED_VALUE"""),"Servidores públicos sensibilizados en proceso Estadístico")</f>
        <v>Servidores públicos sensibilizados en proceso Estadístico</v>
      </c>
      <c r="E47" s="10" t="str">
        <f ca="1">IFERROR(__xludf.DUMMYFUNCTION("""COMPUTED_VALUE"""),"Sensibilizar a los representantes del sistema estadístico en los lineamientos del proceso estadístico")</f>
        <v>Sensibilizar a los representantes del sistema estadístico en los lineamientos del proceso estadístico</v>
      </c>
      <c r="F47" s="11">
        <f ca="1">IFERROR(__xludf.DUMMYFUNCTION("""COMPUTED_VALUE"""),44705)</f>
        <v>44705</v>
      </c>
      <c r="G47" s="11">
        <f ca="1">IFERROR(__xludf.DUMMYFUNCTION("""COMPUTED_VALUE"""),44926)</f>
        <v>44926</v>
      </c>
      <c r="H47" s="10" t="str">
        <f ca="1">IFERROR(__xludf.DUMMYFUNCTION("""COMPUTED_VALUE"""),"PLANEACIÓN")</f>
        <v>PLANEACIÓN</v>
      </c>
      <c r="I47" s="12">
        <f ca="1">IFERROR(__xludf.DUMMYFUNCTION("""COMPUTED_VALUE"""),0)</f>
        <v>0</v>
      </c>
      <c r="J47" s="10" t="str">
        <f ca="1">IFERROR(__xludf.DUMMYFUNCTION("""COMPUTED_VALUE"""),"SOCIALIZACIÓN DEL PLAN ESTADISTICO TERRITORIAL, A LOS REPRESENTANTES DEL COMITE. 
Actualmente la Alcaldía de Pereira  trabaja con base en registros administrativos  Por ahora lo que la Administración puede desarrollar es capacitar al personal en proceso "&amp;"estadístico: En el tercer trimestre del año se realizaron varias socializaciones enfocadas a dar a conocer a los funcionarios tanto del comité técnico de política social como a los funcionarios y contratistas de la Alcaldía de Pereira en que consiste  el "&amp;"proceso estadístico llevandose acabo varias capacitaciones a través de los comunicados SAIA: El primero se dió el 3 de agosto del 2021 con el comunicado No 44310 y la segunda invitación se hizo el  9 de agosto del 2021 con el comunicado No 45720 relaciona"&amp;"do con la capacitación del  Proceso estadístico los día 4 de agosto, 1 de septiembre  y 6 de octubre del 2021 en el enlace dispuesto por el DANE: https://www.sen.gov.co/novedades/eventos")</f>
        <v>SOCIALIZACIÓN DEL PLAN ESTADISTICO TERRITORIAL, A LOS REPRESENTANTES DEL COMITE. 
Actualmente la Alcaldía de Pereira  trabaja con base en registros administrativos  Por ahora lo que la Administración puede desarrollar es capacitar al personal en proceso estadístico: En el tercer trimestre del año se realizaron varias socializaciones enfocadas a dar a conocer a los funcionarios tanto del comité técnico de política social como a los funcionarios y contratistas de la Alcaldía de Pereira en que consiste  el proceso estadístico llevandose acabo varias capacitaciones a través de los comunicados SAIA: El primero se dió el 3 de agosto del 2021 con el comunicado No 44310 y la segunda invitación se hizo el  9 de agosto del 2021 con el comunicado No 45720 relacionado con la capacitación del  Proceso estadístico los día 4 de agosto, 1 de septiembre  y 6 de octubre del 2021 en el enlace dispuesto por el DANE: https://www.sen.gov.co/novedades/eventos</v>
      </c>
      <c r="K47" s="11">
        <f ca="1">IFERROR(__xludf.DUMMYFUNCTION("""COMPUTED_VALUE"""),44650)</f>
        <v>44650</v>
      </c>
      <c r="L47" s="12">
        <f ca="1">IFERROR(__xludf.DUMMYFUNCTION("""COMPUTED_VALUE"""),0.5)</f>
        <v>0.5</v>
      </c>
      <c r="M47" s="10" t="str">
        <f ca="1">IFERROR(__xludf.DUMMYFUNCTION("""COMPUTED_VALUE"""),"SOCIALIZACIÓN DEL PLAN ESTADISTICO TERRITORIAL, A LOS REPRESENTANTES DEL COMITE. 
 Actualmente la Alcaldía de Pereira trabaja con base en registros administrativos. Por ahora lo que la Administración puede desarrollar es capacitar al personal en proceso e"&amp;"stadístico: 
 AÑO 2021: En el tercer trimestre del año se realizaron varias socializaciones enfocadas a dar a conocer a los funcionarios tanto del comité técnico de política social como a los funcionarios y contratistas de la Alcaldía de Pereira en que co"&amp;"nsiste el proceso estadístico llevandose acabo varias capacitaciones a través de los comunicados SAIA: El primero se dió el 3 de agosto del 2021 con el comunicado No 44310 y la segunda invitación se hizo el 9 de agosto del 2021 con el comunicado No 45720 "&amp;"relacionado con la capacitación del Proceso estadístico los día 4 de agosto, 1 de septiembre y 6 de octubre del 2021 en el enlace dispuesto por el DANE: https://www.sen.gov.co/novedades/eventos.
 AÑO 2022 Se relacionan las capacitacones a las que se invit"&amp;"an a funcionarios de la Alcadía, atraves del correo del Plan Institucional de Capacitaciones. PIC. 
 Se esta llevando a cabo el Diagnostico de RRAA. ""Metodología de Diagnóstico de los Registros Administrativos para su aprovechamiento estadístico"" se ane"&amp;"xa cuadro reporte e invetnarios")</f>
        <v>SOCIALIZACIÓN DEL PLAN ESTADISTICO TERRITORIAL, A LOS REPRESENTANTES DEL COMITE. 
 Actualmente la Alcaldía de Pereira trabaja con base en registros administrativos. Por ahora lo que la Administración puede desarrollar es capacitar al personal en proceso estadístico: 
 AÑO 2021: En el tercer trimestre del año se realizaron varias socializaciones enfocadas a dar a conocer a los funcionarios tanto del comité técnico de política social como a los funcionarios y contratistas de la Alcaldía de Pereira en que consiste el proceso estadístico llevandose acabo varias capacitaciones a través de los comunicados SAIA: El primero se dió el 3 de agosto del 2021 con el comunicado No 44310 y la segunda invitación se hizo el 9 de agosto del 2021 con el comunicado No 45720 relacionado con la capacitación del Proceso estadístico los día 4 de agosto, 1 de septiembre y 6 de octubre del 2021 en el enlace dispuesto por el DANE: https://www.sen.gov.co/novedades/eventos.
 AÑO 2022 Se relacionan las capacitacones a las que se invitan a funcionarios de la Alcadía, atraves del correo del Plan Institucional de Capacitaciones. PIC. 
 Se esta llevando a cabo el Diagnostico de RRAA. "Metodología de Diagnóstico de los Registros Administrativos para su aprovechamiento estadístico" se anexa cuadro reporte e invetnarios</v>
      </c>
      <c r="N47" s="11">
        <f ca="1">IFERROR(__xludf.DUMMYFUNCTION("""COMPUTED_VALUE"""),44742)</f>
        <v>44742</v>
      </c>
      <c r="O47" s="12">
        <f ca="1">IFERROR(__xludf.DUMMYFUNCTION("""COMPUTED_VALUE"""),0.75)</f>
        <v>0.75</v>
      </c>
      <c r="P47" s="10" t="str">
        <f ca="1">IFERROR(__xludf.DUMMYFUNCTION("""COMPUTED_VALUE"""),"Actualizacion cuadro reporte de los funcionarios y contratistas que asistieron a las capacitaciones dictadas por el DANE")</f>
        <v>Actualizacion cuadro reporte de los funcionarios y contratistas que asistieron a las capacitaciones dictadas por el DANE</v>
      </c>
      <c r="Q47" s="11">
        <f ca="1">IFERROR(__xludf.DUMMYFUNCTION("""COMPUTED_VALUE"""),44834)</f>
        <v>44834</v>
      </c>
      <c r="R47" s="12">
        <f ca="1">IFERROR(__xludf.DUMMYFUNCTION("""COMPUTED_VALUE"""),0.75)</f>
        <v>0.75</v>
      </c>
      <c r="S47" s="10" t="str">
        <f ca="1">IFERROR(__xludf.DUMMYFUNCTION("""COMPUTED_VALUE"""),"Actualizacion cuadro reporte de los funcionarios y contratistas que asistieron a las capacitaciones dictadas por el DANE")</f>
        <v>Actualizacion cuadro reporte de los funcionarios y contratistas que asistieron a las capacitaciones dictadas por el DANE</v>
      </c>
      <c r="T47" s="11">
        <f ca="1">IFERROR(__xludf.DUMMYFUNCTION("""COMPUTED_VALUE"""),44925)</f>
        <v>44925</v>
      </c>
      <c r="U47" s="10"/>
    </row>
    <row r="48" spans="1:21" ht="37.5" customHeight="1" x14ac:dyDescent="0.2">
      <c r="A48" s="10" t="str">
        <f ca="1">IFERROR(__xludf.DUMMYFUNCTION("""COMPUTED_VALUE"""),"Información y Comunicación")</f>
        <v>Información y Comunicación</v>
      </c>
      <c r="B48" s="10" t="str">
        <f ca="1">IFERROR(__xludf.DUMMYFUNCTION("""COMPUTED_VALUE"""),"Gestión de la Información Estadística")</f>
        <v>Gestión de la Información Estadística</v>
      </c>
      <c r="C48" s="10" t="str">
        <f ca="1">IFERROR(__xludf.DUMMYFUNCTION("""COMPUTED_VALUE"""),"Implementar en los procesos de producción de información estadística de la entidad, la Metodología de Diagnóstico de los Registros Administrativos para su aprovechamiento estadístico (DANE). ")</f>
        <v xml:space="preserve">Implementar en los procesos de producción de información estadística de la entidad, la Metodología de Diagnóstico de los Registros Administrativos para su aprovechamiento estadístico (DANE). </v>
      </c>
      <c r="D48" s="10" t="str">
        <f ca="1">IFERROR(__xludf.DUMMYFUNCTION("""COMPUTED_VALUE"""),"Diagnóstico Registros Administrativos")</f>
        <v>Diagnóstico Registros Administrativos</v>
      </c>
      <c r="E48"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48" s="11">
        <f ca="1">IFERROR(__xludf.DUMMYFUNCTION("""COMPUTED_VALUE"""),44650)</f>
        <v>44650</v>
      </c>
      <c r="G48" s="11">
        <f ca="1">IFERROR(__xludf.DUMMYFUNCTION("""COMPUTED_VALUE"""),44926)</f>
        <v>44926</v>
      </c>
      <c r="H48" s="10" t="str">
        <f ca="1">IFERROR(__xludf.DUMMYFUNCTION("""COMPUTED_VALUE"""),"SECRETARÍA DE PLANEACIÓN Y ENTIDADES SISTEMA ESTADÍSTICO MUNICIPAL")</f>
        <v>SECRETARÍA DE PLANEACIÓN Y ENTIDADES SISTEMA ESTADÍSTICO MUNICIPAL</v>
      </c>
      <c r="I48" s="12"/>
      <c r="J48" s="10"/>
      <c r="K48" s="11"/>
      <c r="L48" s="12">
        <f ca="1">IFERROR(__xludf.DUMMYFUNCTION("""COMPUTED_VALUE"""),0.5)</f>
        <v>0.5</v>
      </c>
      <c r="M48" s="10" t="str">
        <f ca="1">IFERROR(__xludf.DUMMYFUNCTION("""COMPUTED_VALUE"""),"Cuadro de reportes de entrega de documentación (matriz, formatos) solicitada, actas de talleres relizados.")</f>
        <v>Cuadro de reportes de entrega de documentación (matriz, formatos) solicitada, actas de talleres relizados.</v>
      </c>
      <c r="N48" s="11">
        <f ca="1">IFERROR(__xludf.DUMMYFUNCTION("""COMPUTED_VALUE"""),44742)</f>
        <v>44742</v>
      </c>
      <c r="O48" s="12">
        <f ca="1">IFERROR(__xludf.DUMMYFUNCTION("""COMPUTED_VALUE"""),0.5)</f>
        <v>0.5</v>
      </c>
      <c r="P48" s="10" t="str">
        <f ca="1">IFERROR(__xludf.DUMMYFUNCTION("""COMPUTED_VALUE"""),"Consolidacion de inventario de RRAA del SEN y Politica Publica ")</f>
        <v xml:space="preserve">Consolidacion de inventario de RRAA del SEN y Politica Publica </v>
      </c>
      <c r="Q48" s="11">
        <f ca="1">IFERROR(__xludf.DUMMYFUNCTION("""COMPUTED_VALUE"""),44834)</f>
        <v>44834</v>
      </c>
      <c r="R48" s="12">
        <f ca="1">IFERROR(__xludf.DUMMYFUNCTION("""COMPUTED_VALUE"""),0.5)</f>
        <v>0.5</v>
      </c>
      <c r="S48" s="10" t="str">
        <f ca="1">IFERROR(__xludf.DUMMYFUNCTION("""COMPUTED_VALUE"""),"Consolidacion de inventario de RRAA del SEN y Politica Publica ")</f>
        <v xml:space="preserve">Consolidacion de inventario de RRAA del SEN y Politica Publica </v>
      </c>
      <c r="T48" s="11">
        <f ca="1">IFERROR(__xludf.DUMMYFUNCTION("""COMPUTED_VALUE"""),44925)</f>
        <v>44925</v>
      </c>
      <c r="U48" s="10"/>
    </row>
    <row r="49" spans="1:21" ht="37.5" customHeight="1" x14ac:dyDescent="0.2">
      <c r="A49" s="10" t="str">
        <f ca="1">IFERROR(__xludf.DUMMYFUNCTION("""COMPUTED_VALUE"""),"Información y Comunicación")</f>
        <v>Información y Comunicación</v>
      </c>
      <c r="B49" s="10" t="str">
        <f ca="1">IFERROR(__xludf.DUMMYFUNCTION("""COMPUTED_VALUE"""),"Gestión de la Información Estadística")</f>
        <v>Gestión de la Información Estadística</v>
      </c>
      <c r="C49" s="10" t="str">
        <f ca="1">IFERROR(__xludf.DUMMYFUNCTION("""COMPUTED_VALUE"""),"Implementar en los procesos de producción de información estadística de la entidad, la Guía de metadatos de registros administrativos (DANE).")</f>
        <v>Implementar en los procesos de producción de información estadística de la entidad, la Guía de metadatos de registros administrativos (DANE).</v>
      </c>
      <c r="D49" s="10" t="str">
        <f ca="1">IFERROR(__xludf.DUMMYFUNCTION("""COMPUTED_VALUE"""),"Implementación programa de fortalecimiento y aprovechamiento de registros administrativos")</f>
        <v>Implementación programa de fortalecimiento y aprovechamiento de registros administrativos</v>
      </c>
      <c r="E49"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49" s="11">
        <f ca="1">IFERROR(__xludf.DUMMYFUNCTION("""COMPUTED_VALUE"""),44774)</f>
        <v>44774</v>
      </c>
      <c r="G49" s="11">
        <f ca="1">IFERROR(__xludf.DUMMYFUNCTION("""COMPUTED_VALUE"""),44926)</f>
        <v>44926</v>
      </c>
      <c r="H49" s="10" t="str">
        <f ca="1">IFERROR(__xludf.DUMMYFUNCTION("""COMPUTED_VALUE"""),"SECRETARÍA DE PLANEACIÓN Y ENTIDADES SISTEMA ESTADÍSTICO MUNICIPAL")</f>
        <v>SECRETARÍA DE PLANEACIÓN Y ENTIDADES SISTEMA ESTADÍSTICO MUNICIPAL</v>
      </c>
      <c r="I49" s="12">
        <f ca="1">IFERROR(__xludf.DUMMYFUNCTION("""COMPUTED_VALUE"""),0)</f>
        <v>0</v>
      </c>
      <c r="J49"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49" s="11">
        <f ca="1">IFERROR(__xludf.DUMMYFUNCTION("""COMPUTED_VALUE"""),44650)</f>
        <v>44650</v>
      </c>
      <c r="L49" s="12">
        <f ca="1">IFERROR(__xludf.DUMMYFUNCTION("""COMPUTED_VALUE"""),0.1)</f>
        <v>0.1</v>
      </c>
      <c r="M49" s="10" t="str">
        <f ca="1">IFERROR(__xludf.DUMMYFUNCTION("""COMPUTED_VALUE"""),"Cuadro de reportes de entrega de documentación (matriz, formatos) solicitada, actas de talleres relizados. 
 Se esta llevando a cabo el Diagnostico de RRAA. ""Metodología de Diagnóstico de los Registros Administrativos para su aprovechamiento estadístico"&amp;""" se anexa cuadro reporte e invetnarios.")</f>
        <v>Cuadro de reportes de entrega de documentación (matriz, formatos) solicitada, actas de talleres relizados. 
 Se esta llevando a cabo el Diagnostico de RRAA. "Metodología de Diagnóstico de los Registros Administrativos para su aprovechamiento estadístico" se anexa cuadro reporte e invetnarios.</v>
      </c>
      <c r="N49" s="11">
        <f ca="1">IFERROR(__xludf.DUMMYFUNCTION("""COMPUTED_VALUE"""),44742)</f>
        <v>44742</v>
      </c>
      <c r="O49" s="12">
        <f ca="1">IFERROR(__xludf.DUMMYFUNCTION("""COMPUTED_VALUE"""),0.1)</f>
        <v>0.1</v>
      </c>
      <c r="P49" s="10" t="str">
        <f ca="1">IFERROR(__xludf.DUMMYFUNCTION("""COMPUTED_VALUE"""),"Se envia oficio y se brinda asesoria a las entidades del sector central y descentralizado para diligenciar la matriz de la ficha tecnica ")</f>
        <v xml:space="preserve">Se envia oficio y se brinda asesoria a las entidades del sector central y descentralizado para diligenciar la matriz de la ficha tecnica </v>
      </c>
      <c r="Q49" s="11">
        <f ca="1">IFERROR(__xludf.DUMMYFUNCTION("""COMPUTED_VALUE"""),44834)</f>
        <v>44834</v>
      </c>
      <c r="R49" s="12">
        <f ca="1">IFERROR(__xludf.DUMMYFUNCTION("""COMPUTED_VALUE"""),0.8)</f>
        <v>0.8</v>
      </c>
      <c r="S49" s="10" t="str">
        <f ca="1">IFERROR(__xludf.DUMMYFUNCTION("""COMPUTED_VALUE"""),"Consolidacion de la ficha técnica ")</f>
        <v xml:space="preserve">Consolidacion de la ficha técnica </v>
      </c>
      <c r="T49" s="11">
        <f ca="1">IFERROR(__xludf.DUMMYFUNCTION("""COMPUTED_VALUE"""),44925)</f>
        <v>44925</v>
      </c>
      <c r="U49" s="10"/>
    </row>
    <row r="50" spans="1:21" ht="37.5" customHeight="1" x14ac:dyDescent="0.2">
      <c r="A50" s="10" t="str">
        <f ca="1">IFERROR(__xludf.DUMMYFUNCTION("""COMPUTED_VALUE"""),"Información y Comunicación")</f>
        <v>Información y Comunicación</v>
      </c>
      <c r="B50" s="10" t="str">
        <f ca="1">IFERROR(__xludf.DUMMYFUNCTION("""COMPUTED_VALUE"""),"Gestión de la Información Estadística")</f>
        <v>Gestión de la Información Estadística</v>
      </c>
      <c r="C50" s="10" t="str">
        <f ca="1">IFERROR(__xludf.DUMMYFUNCTION("""COMPUTED_VALUE"""),"Implementar en los procesos de producción de información estadística de la entidad, la Guía para la anonimización de bases de datos en el Sistema Estadístico Nacional (DANE).")</f>
        <v>Implementar en los procesos de producción de información estadística de la entidad, la Guía para la anonimización de bases de datos en el Sistema Estadístico Nacional (DANE).</v>
      </c>
      <c r="D50" s="10" t="str">
        <f ca="1">IFERROR(__xludf.DUMMYFUNCTION("""COMPUTED_VALUE"""),"Guia de anonimización")</f>
        <v>Guia de anonimización</v>
      </c>
      <c r="E50" s="10" t="str">
        <f ca="1">IFERROR(__xludf.DUMMYFUNCTION("""COMPUTED_VALUE"""),"Elaborar una guía")</f>
        <v>Elaborar una guía</v>
      </c>
      <c r="F50" s="11">
        <f ca="1">IFERROR(__xludf.DUMMYFUNCTION("""COMPUTED_VALUE"""),44743)</f>
        <v>44743</v>
      </c>
      <c r="G50" s="11">
        <f ca="1">IFERROR(__xludf.DUMMYFUNCTION("""COMPUTED_VALUE"""),44925)</f>
        <v>44925</v>
      </c>
      <c r="H50" s="10" t="str">
        <f ca="1">IFERROR(__xludf.DUMMYFUNCTION("""COMPUTED_VALUE"""),"SECRETARÍA DE PLANEACIÓN Y ENTIDADES SISTEMA ESTADÍSTICO MUNICIPAL")</f>
        <v>SECRETARÍA DE PLANEACIÓN Y ENTIDADES SISTEMA ESTADÍSTICO MUNICIPAL</v>
      </c>
      <c r="I50" s="12">
        <f ca="1">IFERROR(__xludf.DUMMYFUNCTION("""COMPUTED_VALUE"""),0)</f>
        <v>0</v>
      </c>
      <c r="J50" s="10" t="str">
        <f ca="1">IFERROR(__xludf.DUMMYFUNCTION("""COMPUTED_VALUE"""),"En proceso de revisión de la finalidad y alcance de la actividad.
")</f>
        <v xml:space="preserve">En proceso de revisión de la finalidad y alcance de la actividad.
</v>
      </c>
      <c r="K50" s="11">
        <f ca="1">IFERROR(__xludf.DUMMYFUNCTION("""COMPUTED_VALUE"""),44650)</f>
        <v>44650</v>
      </c>
      <c r="L50" s="12">
        <f ca="1">IFERROR(__xludf.DUMMYFUNCTION("""COMPUTED_VALUE"""),0.5)</f>
        <v>0.5</v>
      </c>
      <c r="M50" s="10" t="str">
        <f ca="1">IFERROR(__xludf.DUMMYFUNCTION("""COMPUTED_VALUE"""),"Cuadro de reportes de entrega de documentación (matriz, formatos) solicitada, actas de talleres relizados. 
 Se esta llevando a cabo el Diagnostico de RRAA. ""Metodología de Diagnóstico de los Registros Administrativos para su aprovechamiento estadístico"&amp;""" se anexa cuadro reporte e invetnarios. 
  Se anonimizaran las bases de datos para el primer semestre del 2023.")</f>
        <v>Cuadro de reportes de entrega de documentación (matriz, formatos) solicitada, actas de talleres relizados. 
 Se esta llevando a cabo el Diagnostico de RRAA. "Metodología de Diagnóstico de los Registros Administrativos para su aprovechamiento estadístico" se anexa cuadro reporte e invetnarios. 
  Se anonimizaran las bases de datos para el primer semestre del 2023.</v>
      </c>
      <c r="N50" s="11">
        <f ca="1">IFERROR(__xludf.DUMMYFUNCTION("""COMPUTED_VALUE"""),44742)</f>
        <v>44742</v>
      </c>
      <c r="O50" s="12">
        <f ca="1">IFERROR(__xludf.DUMMYFUNCTION("""COMPUTED_VALUE"""),0.3)</f>
        <v>0.3</v>
      </c>
      <c r="P50" s="10" t="str">
        <f ca="1">IFERROR(__xludf.DUMMYFUNCTION("""COMPUTED_VALUE"""),"Se empieza a revisar documentos para la guia de Anonimizacion ")</f>
        <v xml:space="preserve">Se empieza a revisar documentos para la guia de Anonimizacion </v>
      </c>
      <c r="Q50" s="11">
        <f ca="1">IFERROR(__xludf.DUMMYFUNCTION("""COMPUTED_VALUE"""),44834)</f>
        <v>44834</v>
      </c>
      <c r="R50" s="12">
        <f ca="1">IFERROR(__xludf.DUMMYFUNCTION("""COMPUTED_VALUE"""),0.5)</f>
        <v>0.5</v>
      </c>
      <c r="S50" s="10" t="str">
        <f ca="1">IFERROR(__xludf.DUMMYFUNCTION("""COMPUTED_VALUE"""),"Se entrega de una Guia de anonimizacion V1")</f>
        <v>Se entrega de una Guia de anonimizacion V1</v>
      </c>
      <c r="T50" s="11">
        <f ca="1">IFERROR(__xludf.DUMMYFUNCTION("""COMPUTED_VALUE"""),44925)</f>
        <v>44925</v>
      </c>
      <c r="U50" s="10"/>
    </row>
    <row r="51" spans="1:21" ht="37.5" customHeight="1" x14ac:dyDescent="0.2">
      <c r="A51" s="10" t="str">
        <f ca="1">IFERROR(__xludf.DUMMYFUNCTION("""COMPUTED_VALUE"""),"Información y Comunicación")</f>
        <v>Información y Comunicación</v>
      </c>
      <c r="B51" s="10" t="str">
        <f ca="1">IFERROR(__xludf.DUMMYFUNCTION("""COMPUTED_VALUE"""),"Gestión de la Información Estadística")</f>
        <v>Gestión de la Información Estadística</v>
      </c>
      <c r="C51" s="10" t="str">
        <f ca="1">IFERROR(__xludf.DUMMYFUNCTION("""COMPUTED_VALUE"""),"Diagnosticar la calidad de los registros administrativos de la entidad.")</f>
        <v>Diagnosticar la calidad de los registros administrativos de la entidad.</v>
      </c>
      <c r="D51" s="10" t="str">
        <f ca="1">IFERROR(__xludf.DUMMYFUNCTION("""COMPUTED_VALUE"""),"Implementación programa de fortalecimiento y aprovechamiento de registros administrativos")</f>
        <v>Implementación programa de fortalecimiento y aprovechamiento de registros administrativos</v>
      </c>
      <c r="E51"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51" s="11">
        <f ca="1">IFERROR(__xludf.DUMMYFUNCTION("""COMPUTED_VALUE"""),44743)</f>
        <v>44743</v>
      </c>
      <c r="G51" s="11">
        <f ca="1">IFERROR(__xludf.DUMMYFUNCTION("""COMPUTED_VALUE"""),44925)</f>
        <v>44925</v>
      </c>
      <c r="H51" s="10" t="str">
        <f ca="1">IFERROR(__xludf.DUMMYFUNCTION("""COMPUTED_VALUE"""),"SECRETARÍA DE PLANEACIÓN Y ENTIDADES SISTEMA ESTADÍSTICO MUNICIPAL")</f>
        <v>SECRETARÍA DE PLANEACIÓN Y ENTIDADES SISTEMA ESTADÍSTICO MUNICIPAL</v>
      </c>
      <c r="I51" s="12">
        <f ca="1">IFERROR(__xludf.DUMMYFUNCTION("""COMPUTED_VALUE"""),0)</f>
        <v>0</v>
      </c>
      <c r="J51"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1" s="11">
        <f ca="1">IFERROR(__xludf.DUMMYFUNCTION("""COMPUTED_VALUE"""),44650)</f>
        <v>44650</v>
      </c>
      <c r="L51" s="12">
        <f ca="1">IFERROR(__xludf.DUMMYFUNCTION("""COMPUTED_VALUE"""),0.5)</f>
        <v>0.5</v>
      </c>
      <c r="M51" s="10" t="str">
        <f ca="1">IFERROR(__xludf.DUMMYFUNCTION("""COMPUTED_VALUE"""),"Cuadro de reportes de entrega de documentación (matriz, formatos) solicitada, actas de talleres relizados. ESTA RECOMENDACIÓN ESTÁ IMPLEMENTADA EN EL PLAN DE ACCIÓN. SE REALIZO TALLER DE FORTALECIMIENTO Y APROVECHAMIENTO DE RRAA. 07/03/2022.")</f>
        <v>Cuadro de reportes de entrega de documentación (matriz, formatos) solicitada, actas de talleres relizados. ESTA RECOMENDACIÓN ESTÁ IMPLEMENTADA EN EL PLAN DE ACCIÓN. SE REALIZO TALLER DE FORTALECIMIENTO Y APROVECHAMIENTO DE RRAA. 07/03/2022.</v>
      </c>
      <c r="N51" s="11">
        <f ca="1">IFERROR(__xludf.DUMMYFUNCTION("""COMPUTED_VALUE"""),44742)</f>
        <v>44742</v>
      </c>
      <c r="O51" s="12">
        <f ca="1">IFERROR(__xludf.DUMMYFUNCTION("""COMPUTED_VALUE"""),0.5)</f>
        <v>0.5</v>
      </c>
      <c r="P5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regi"&amp;"stros administrativos, no incluyó los cursos de formación especializados en el tema de registros administrativos, y cuando se notificó a la Alcaldía no había disponibilidad de cupos. Otro atenuante es que el equipo del Sistema Estadístico se encuentra rea"&amp;"lizando la formulación del Plan Estadístico. 16/09/2021: Capacitación Registros Administrativos dictada por el DANE en el marco de las capacitaciones del Sistema Estadístico Nacional. Por parte de la Alcaldía de Pereira asistieron los miembros de Comité T"&amp;"écnico de Estadística-CTE y las personas que manejan bases de datos en la Alcaldía de Pereira. 07/04/2022: Taller de fortaleciiento y aprovechamiento de los Registros Administrativos dictada por el DANE en el marco de las capacitaciones del Sistema Estadí"&amp;"stico Nacional. Por parte de la Alcaldía de Pereira asistieron los miembros de Comité Técnico de Estadística-CTE y las personas que manejan bases de datos en la Alcaldía de Pereira. Se cuenta de un inventario y carterizacion de los registros administrativ"&amp;"os plan estadistico, plan de accion. Se entrega la matriz de caracterizacion de los registros administrativos de la alcaldia de Pereira.")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v>
      </c>
      <c r="Q51" s="11">
        <f ca="1">IFERROR(__xludf.DUMMYFUNCTION("""COMPUTED_VALUE"""),44834)</f>
        <v>44834</v>
      </c>
      <c r="R51" s="12">
        <f ca="1">IFERROR(__xludf.DUMMYFUNCTION("""COMPUTED_VALUE"""),0.85)</f>
        <v>0.85</v>
      </c>
      <c r="S5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han venido realizando actividades priorizadas en el plan de trabajo y donde se ha llegado con algunas"&amp;" entidades cumpliendo con los parametros DANE.
se tiene un consolidado de los siguientes productos:
*Matriz de identificacion de potenciales RRAA
*Matriz equipo y necesidad 
*Diccionario de datos (tabla de referencia y reglas de validacion)
*Ficha técnica"&amp;"
*Formulario de caracterizacion")</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han venido realizando actividades priorizadas en el plan de trabajo y donde se ha llegado con algunas entidades cumpliendo con los parametros DANE.
se tiene un consolidado de los siguientes productos:
*Matriz de identificacion de potenciales RRAA
*Matriz equipo y necesidad 
*Diccionario de datos (tabla de referencia y reglas de validacion)
*Ficha técnica
*Formulario de caracterizacion</v>
      </c>
      <c r="T51" s="11">
        <f ca="1">IFERROR(__xludf.DUMMYFUNCTION("""COMPUTED_VALUE"""),44925)</f>
        <v>44925</v>
      </c>
      <c r="U51" s="10"/>
    </row>
    <row r="52" spans="1:21" ht="37.5" customHeight="1" x14ac:dyDescent="0.2">
      <c r="A52" s="10" t="str">
        <f ca="1">IFERROR(__xludf.DUMMYFUNCTION("""COMPUTED_VALUE"""),"Información y Comunicación")</f>
        <v>Información y Comunicación</v>
      </c>
      <c r="B52" s="10" t="str">
        <f ca="1">IFERROR(__xludf.DUMMYFUNCTION("""COMPUTED_VALUE"""),"Gestión de la Información Estadística")</f>
        <v>Gestión de la Información Estadística</v>
      </c>
      <c r="C52" s="10" t="str">
        <f ca="1">IFERROR(__xludf.DUMMYFUNCTION("""COMPUTED_VALUE"""),"Aprovechar estadísticamente los registros administrativos de la entidad.")</f>
        <v>Aprovechar estadísticamente los registros administrativos de la entidad.</v>
      </c>
      <c r="D52" s="10" t="str">
        <f ca="1">IFERROR(__xludf.DUMMYFUNCTION("""COMPUTED_VALUE"""),"Implementación programa de fortalecimiento y aprovechamiento de registros administrativos")</f>
        <v>Implementación programa de fortalecimiento y aprovechamiento de registros administrativos</v>
      </c>
      <c r="E52"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52" s="11">
        <f ca="1">IFERROR(__xludf.DUMMYFUNCTION("""COMPUTED_VALUE"""),44650)</f>
        <v>44650</v>
      </c>
      <c r="G52" s="11">
        <f ca="1">IFERROR(__xludf.DUMMYFUNCTION("""COMPUTED_VALUE"""),44926)</f>
        <v>44926</v>
      </c>
      <c r="H52" s="10" t="str">
        <f ca="1">IFERROR(__xludf.DUMMYFUNCTION("""COMPUTED_VALUE"""),"SECRETARÍA DE PLANEACIÓN Y ENTIDADES SISTEMA ESTADÍSTICO MUNICIPAL")</f>
        <v>SECRETARÍA DE PLANEACIÓN Y ENTIDADES SISTEMA ESTADÍSTICO MUNICIPAL</v>
      </c>
      <c r="I52" s="12">
        <f ca="1">IFERROR(__xludf.DUMMYFUNCTION("""COMPUTED_VALUE"""),0)</f>
        <v>0</v>
      </c>
      <c r="J52"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2" s="11">
        <f ca="1">IFERROR(__xludf.DUMMYFUNCTION("""COMPUTED_VALUE"""),44650)</f>
        <v>44650</v>
      </c>
      <c r="L52" s="12">
        <f ca="1">IFERROR(__xludf.DUMMYFUNCTION("""COMPUTED_VALUE"""),0.5)</f>
        <v>0.5</v>
      </c>
      <c r="M52" s="10" t="str">
        <f ca="1">IFERROR(__xludf.DUMMYFUNCTION("""COMPUTED_VALUE"""),"ESTA RECOMENDACIÓN  ESTÁ IMPLEMENTADA EN EL PLAN DE ACCIÓN. SE REALIZO TALLER DE FORTALECIMIENTO Y APROVECHAMIENTO DE RRAA. 07/03/2022. Cuadro de reportes de entrega de documentación (matriz, formatos) solicitada, actas de talleres relizados. Cuadro Conso"&amp;"lidado de Matriz de identificación de RA. ")</f>
        <v xml:space="preserve">ESTA RECOMENDACIÓN  ESTÁ IMPLEMENTADA EN EL PLAN DE ACCIÓN. SE REALIZO TALLER DE FORTALECIMIENTO Y APROVECHAMIENTO DE RRAA. 07/03/2022. Cuadro de reportes de entrega de documentación (matriz, formatos) solicitada, actas de talleres relizados. Cuadro Consolidado de Matriz de identificación de RA. </v>
      </c>
      <c r="N52" s="11">
        <f ca="1">IFERROR(__xludf.DUMMYFUNCTION("""COMPUTED_VALUE"""),44742)</f>
        <v>44742</v>
      </c>
      <c r="O52" s="12">
        <f ca="1">IFERROR(__xludf.DUMMYFUNCTION("""COMPUTED_VALUE"""),0.5)</f>
        <v>0.5</v>
      </c>
      <c r="P5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2" s="11">
        <f ca="1">IFERROR(__xludf.DUMMYFUNCTION("""COMPUTED_VALUE"""),44834)</f>
        <v>44834</v>
      </c>
      <c r="R52" s="12">
        <f ca="1">IFERROR(__xludf.DUMMYFUNCTION("""COMPUTED_VALUE"""),0.85)</f>
        <v>0.85</v>
      </c>
      <c r="S5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han venido realizando actividades priorizadas en el plan de trabajo y donde se ha llegado con algunas"&amp;" entidades cumpliendo con los parametros DANE.
se tiene un consolidado de los siguientes productos:
*Matriz de identificacion de potenciales RRAA
*Matriz equipo y necesidad 
*Diccionario de datos (tabla de referencia y reglas de validacion)
*Ficha técnica"&amp;"
*Formulario de caracterizacion")</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han venido realizando actividades priorizadas en el plan de trabajo y donde se ha llegado con algunas entidades cumpliendo con los parametros DANE.
se tiene un consolidado de los siguientes productos:
*Matriz de identificacion de potenciales RRAA
*Matriz equipo y necesidad 
*Diccionario de datos (tabla de referencia y reglas de validacion)
*Ficha técnica
*Formulario de caracterizacion</v>
      </c>
      <c r="T52" s="11">
        <f ca="1">IFERROR(__xludf.DUMMYFUNCTION("""COMPUTED_VALUE"""),44925)</f>
        <v>44925</v>
      </c>
      <c r="U52" s="10"/>
    </row>
    <row r="53" spans="1:21" ht="37.5" customHeight="1" x14ac:dyDescent="0.2">
      <c r="A53" s="10" t="str">
        <f ca="1">IFERROR(__xludf.DUMMYFUNCTION("""COMPUTED_VALUE"""),"Información y Comunicación")</f>
        <v>Información y Comunicación</v>
      </c>
      <c r="B53" s="10" t="str">
        <f ca="1">IFERROR(__xludf.DUMMYFUNCTION("""COMPUTED_VALUE"""),"Gestión de la Información Estadística")</f>
        <v>Gestión de la Información Estadística</v>
      </c>
      <c r="C53" s="10" t="str">
        <f ca="1">IFERROR(__xludf.DUMMYFUNCTION("""COMPUTED_VALUE"""),"Consolidar las bases de datos de los registros administrativos de la entidad.")</f>
        <v>Consolidar las bases de datos de los registros administrativos de la entidad.</v>
      </c>
      <c r="D53" s="10" t="str">
        <f ca="1">IFERROR(__xludf.DUMMYFUNCTION("""COMPUTED_VALUE"""),"Implementación programa de fortalecimiento y aprovechamiento de registros administrativos")</f>
        <v>Implementación programa de fortalecimiento y aprovechamiento de registros administrativos</v>
      </c>
      <c r="E53"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53" s="11">
        <f ca="1">IFERROR(__xludf.DUMMYFUNCTION("""COMPUTED_VALUE"""),44650)</f>
        <v>44650</v>
      </c>
      <c r="G53" s="11">
        <f ca="1">IFERROR(__xludf.DUMMYFUNCTION("""COMPUTED_VALUE"""),44926)</f>
        <v>44926</v>
      </c>
      <c r="H53" s="10" t="str">
        <f ca="1">IFERROR(__xludf.DUMMYFUNCTION("""COMPUTED_VALUE"""),"SECRETARÍA DE PLANEACIÓN Y ENTIDADES SISTEMA ESTADÍSTICO MUNICIPAL")</f>
        <v>SECRETARÍA DE PLANEACIÓN Y ENTIDADES SISTEMA ESTADÍSTICO MUNICIPAL</v>
      </c>
      <c r="I53" s="12">
        <f ca="1">IFERROR(__xludf.DUMMYFUNCTION("""COMPUTED_VALUE"""),0)</f>
        <v>0</v>
      </c>
      <c r="J53"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3" s="11">
        <f ca="1">IFERROR(__xludf.DUMMYFUNCTION("""COMPUTED_VALUE"""),44650)</f>
        <v>44650</v>
      </c>
      <c r="L53" s="12">
        <f ca="1">IFERROR(__xludf.DUMMYFUNCTION("""COMPUTED_VALUE"""),0.5)</f>
        <v>0.5</v>
      </c>
      <c r="M53" s="10" t="str">
        <f ca="1">IFERROR(__xludf.DUMMYFUNCTION("""COMPUTED_VALUE"""),"ESTA RECOMENDACIÓN  ESTÁ IMPLEMENTADA EN EL PLAN DE ACCIÓN. SE REALIZO TALLER DE FORTALECIMIENTO Y APROVECHAMIENTO DE RRAA. 07/03/2022. Cuadro de reportes de entrega de documentación (matriz, formatos) solicitada, actas de talleres relizados. Cuadro Conso"&amp;"lidado de Matriz de identificación de RA. ")</f>
        <v xml:space="preserve">ESTA RECOMENDACIÓN  ESTÁ IMPLEMENTADA EN EL PLAN DE ACCIÓN. SE REALIZO TALLER DE FORTALECIMIENTO Y APROVECHAMIENTO DE RRAA. 07/03/2022. Cuadro de reportes de entrega de documentación (matriz, formatos) solicitada, actas de talleres relizados. Cuadro Consolidado de Matriz de identificación de RA. </v>
      </c>
      <c r="N53" s="11">
        <f ca="1">IFERROR(__xludf.DUMMYFUNCTION("""COMPUTED_VALUE"""),44742)</f>
        <v>44742</v>
      </c>
      <c r="O53" s="12">
        <f ca="1">IFERROR(__xludf.DUMMYFUNCTION("""COMPUTED_VALUE"""),0.5)</f>
        <v>0.5</v>
      </c>
      <c r="P5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3" s="11">
        <f ca="1">IFERROR(__xludf.DUMMYFUNCTION("""COMPUTED_VALUE"""),44834)</f>
        <v>44834</v>
      </c>
      <c r="R53" s="12">
        <f ca="1">IFERROR(__xludf.DUMMYFUNCTION("""COMPUTED_VALUE"""),0.85)</f>
        <v>0.85</v>
      </c>
      <c r="S5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han venido realizando actividades priorizadas en el plan de trabajo y donde se ha llegado con algunas"&amp;" entidades cumpliendo con los parametros DANE.
se tiene un consolidado de los siguientes productos:
*Matriz de identificacion de potenciales RRAA
*Matriz equipo y necesidad 
*Diccionario de datos (tabla de referencia y reglas de validacion)
*Ficha técnica"&amp;"
*Formulario de caracterizacion")</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han venido realizando actividades priorizadas en el plan de trabajo y donde se ha llegado con algunas entidades cumpliendo con los parametros DANE.
se tiene un consolidado de los siguientes productos:
*Matriz de identificacion de potenciales RRAA
*Matriz equipo y necesidad 
*Diccionario de datos (tabla de referencia y reglas de validacion)
*Ficha técnica
*Formulario de caracterizacion</v>
      </c>
      <c r="T53" s="11">
        <f ca="1">IFERROR(__xludf.DUMMYFUNCTION("""COMPUTED_VALUE"""),44925)</f>
        <v>44925</v>
      </c>
      <c r="U53" s="10"/>
    </row>
    <row r="54" spans="1:21" ht="37.5" customHeight="1" x14ac:dyDescent="0.2">
      <c r="A54" s="10" t="str">
        <f ca="1">IFERROR(__xludf.DUMMYFUNCTION("""COMPUTED_VALUE"""),"Información y Comunicación")</f>
        <v>Información y Comunicación</v>
      </c>
      <c r="B54" s="10" t="str">
        <f ca="1">IFERROR(__xludf.DUMMYFUNCTION("""COMPUTED_VALUE"""),"Gestión de la Información Estadística")</f>
        <v>Gestión de la Información Estadística</v>
      </c>
      <c r="C54" s="10" t="str">
        <f ca="1">IFERROR(__xludf.DUMMYFUNCTION("""COMPUTED_VALUE"""),"Incluir la ficha metodológica o ficha técnica correspondiente, en la documentación de los registros administrativos de la entidad.")</f>
        <v>Incluir la ficha metodológica o ficha técnica correspondiente, en la documentación de los registros administrativos de la entidad.</v>
      </c>
      <c r="D54" s="10" t="str">
        <f ca="1">IFERROR(__xludf.DUMMYFUNCTION("""COMPUTED_VALUE"""),"Implementación programa de fortalecimiento y aprovechamiento de registros administrativos")</f>
        <v>Implementación programa de fortalecimiento y aprovechamiento de registros administrativos</v>
      </c>
      <c r="E54"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54" s="11">
        <f ca="1">IFERROR(__xludf.DUMMYFUNCTION("""COMPUTED_VALUE"""),44650)</f>
        <v>44650</v>
      </c>
      <c r="G54" s="11">
        <f ca="1">IFERROR(__xludf.DUMMYFUNCTION("""COMPUTED_VALUE"""),44926)</f>
        <v>44926</v>
      </c>
      <c r="H54" s="10" t="str">
        <f ca="1">IFERROR(__xludf.DUMMYFUNCTION("""COMPUTED_VALUE"""),"SECRETARÍA DE PLANEACIÓN Y ENTIDADES SISTEMA ESTADÍSTICO MUNICIPAL")</f>
        <v>SECRETARÍA DE PLANEACIÓN Y ENTIDADES SISTEMA ESTADÍSTICO MUNICIPAL</v>
      </c>
      <c r="I54" s="12">
        <f ca="1">IFERROR(__xludf.DUMMYFUNCTION("""COMPUTED_VALUE"""),0)</f>
        <v>0</v>
      </c>
      <c r="J54"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4" s="11">
        <f ca="1">IFERROR(__xludf.DUMMYFUNCTION("""COMPUTED_VALUE"""),44650)</f>
        <v>44650</v>
      </c>
      <c r="L54" s="12">
        <f ca="1">IFERROR(__xludf.DUMMYFUNCTION("""COMPUTED_VALUE"""),0.5)</f>
        <v>0.5</v>
      </c>
      <c r="M54" s="10" t="str">
        <f ca="1">IFERROR(__xludf.DUMMYFUNCTION("""COMPUTED_VALUE"""),"ESTA RECOMENDACIÓN  ESTÁ IMPLEMENTADA EN EL PLAN DE ACCIÓN. SE REALIZO TALLER DE FORTALECIMIENTO Y APROVECHAMIENTO DE RRAA. 07/03/2022. Cuadro de reportes de entrega de documentación (matriz, formatos) solicitada, actas de talleres relizados. Cuadro Conso"&amp;"lidado de Matriz de identificación de RA. ")</f>
        <v xml:space="preserve">ESTA RECOMENDACIÓN  ESTÁ IMPLEMENTADA EN EL PLAN DE ACCIÓN. SE REALIZO TALLER DE FORTALECIMIENTO Y APROVECHAMIENTO DE RRAA. 07/03/2022. Cuadro de reportes de entrega de documentación (matriz, formatos) solicitada, actas de talleres relizados. Cuadro Consolidado de Matriz de identificación de RA. </v>
      </c>
      <c r="N54" s="11">
        <f ca="1">IFERROR(__xludf.DUMMYFUNCTION("""COMPUTED_VALUE"""),44742)</f>
        <v>44742</v>
      </c>
      <c r="O54" s="12">
        <f ca="1">IFERROR(__xludf.DUMMYFUNCTION("""COMPUTED_VALUE"""),0.5)</f>
        <v>0.5</v>
      </c>
      <c r="P5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4" s="11">
        <f ca="1">IFERROR(__xludf.DUMMYFUNCTION("""COMPUTED_VALUE"""),44834)</f>
        <v>44834</v>
      </c>
      <c r="R54" s="12">
        <f ca="1">IFERROR(__xludf.DUMMYFUNCTION("""COMPUTED_VALUE"""),0.8)</f>
        <v>0.8</v>
      </c>
      <c r="S54" s="10" t="str">
        <f ca="1">IFERROR(__xludf.DUMMYFUNCTION("""COMPUTED_VALUE"""),"Consolidacion de la ficha técnica ")</f>
        <v xml:space="preserve">Consolidacion de la ficha técnica </v>
      </c>
      <c r="T54" s="11">
        <f ca="1">IFERROR(__xludf.DUMMYFUNCTION("""COMPUTED_VALUE"""),44925)</f>
        <v>44925</v>
      </c>
      <c r="U54" s="10"/>
    </row>
    <row r="55" spans="1:21" ht="37.5" customHeight="1" x14ac:dyDescent="0.2">
      <c r="A55" s="10" t="str">
        <f ca="1">IFERROR(__xludf.DUMMYFUNCTION("""COMPUTED_VALUE"""),"Información y Comunicación")</f>
        <v>Información y Comunicación</v>
      </c>
      <c r="B55" s="10" t="str">
        <f ca="1">IFERROR(__xludf.DUMMYFUNCTION("""COMPUTED_VALUE"""),"Gestión de la Información Estadística")</f>
        <v>Gestión de la Información Estadística</v>
      </c>
      <c r="C55" s="10" t="str">
        <f ca="1">IFERROR(__xludf.DUMMYFUNCTION("""COMPUTED_VALUE"""),"Incluir los manuales y guías para la recolección de datos, en la documentación de los registros administrativos de la entidad.")</f>
        <v>Incluir los manuales y guías para la recolección de datos, en la documentación de los registros administrativos de la entidad.</v>
      </c>
      <c r="D55" s="10" t="str">
        <f ca="1">IFERROR(__xludf.DUMMYFUNCTION("""COMPUTED_VALUE"""),"Implementación programa de fortalecimiento y aprovechamiento de registros administrativos")</f>
        <v>Implementación programa de fortalecimiento y aprovechamiento de registros administrativos</v>
      </c>
      <c r="E55"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55" s="11">
        <f ca="1">IFERROR(__xludf.DUMMYFUNCTION("""COMPUTED_VALUE"""),44650)</f>
        <v>44650</v>
      </c>
      <c r="G55" s="11">
        <f ca="1">IFERROR(__xludf.DUMMYFUNCTION("""COMPUTED_VALUE"""),44926)</f>
        <v>44926</v>
      </c>
      <c r="H55" s="10" t="str">
        <f ca="1">IFERROR(__xludf.DUMMYFUNCTION("""COMPUTED_VALUE"""),"SECRETARÍA DE PLANEACIÓN Y ENTIDADES SISTEMA ESTADÍSTICO MUNICIPAL")</f>
        <v>SECRETARÍA DE PLANEACIÓN Y ENTIDADES SISTEMA ESTADÍSTICO MUNICIPAL</v>
      </c>
      <c r="I55" s="12">
        <f ca="1">IFERROR(__xludf.DUMMYFUNCTION("""COMPUTED_VALUE"""),0)</f>
        <v>0</v>
      </c>
      <c r="J55"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5" s="11">
        <f ca="1">IFERROR(__xludf.DUMMYFUNCTION("""COMPUTED_VALUE"""),44650)</f>
        <v>44650</v>
      </c>
      <c r="L55" s="12">
        <f ca="1">IFERROR(__xludf.DUMMYFUNCTION("""COMPUTED_VALUE"""),0.5)</f>
        <v>0.5</v>
      </c>
      <c r="M55" s="10" t="str">
        <f ca="1">IFERROR(__xludf.DUMMYFUNCTION("""COMPUTED_VALUE"""),"ESTA RECOMENDACIÓN  ESTÁ IMPLEMENTADA EN EL PLAN DE ACCIÓN. SE REALIZO TALLER DE FORTALECIMIENTO Y APROVECHAMIENTO DE RRAA. 07/03/2022. Cuadro de reportes de entrega de documentación (matriz, formatos) solicitada, actas de talleres relizados. Cuadro Conso"&amp;"lidado de Matriz de identificación de RA. ")</f>
        <v xml:space="preserve">ESTA RECOMENDACIÓN  ESTÁ IMPLEMENTADA EN EL PLAN DE ACCIÓN. SE REALIZO TALLER DE FORTALECIMIENTO Y APROVECHAMIENTO DE RRAA. 07/03/2022. Cuadro de reportes de entrega de documentación (matriz, formatos) solicitada, actas de talleres relizados. Cuadro Consolidado de Matriz de identificación de RA. </v>
      </c>
      <c r="N55" s="11">
        <f ca="1">IFERROR(__xludf.DUMMYFUNCTION("""COMPUTED_VALUE"""),44742)</f>
        <v>44742</v>
      </c>
      <c r="O55" s="12">
        <f ca="1">IFERROR(__xludf.DUMMYFUNCTION("""COMPUTED_VALUE"""),0.5)</f>
        <v>0.5</v>
      </c>
      <c r="P55"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5" s="11">
        <f ca="1">IFERROR(__xludf.DUMMYFUNCTION("""COMPUTED_VALUE"""),44834)</f>
        <v>44834</v>
      </c>
      <c r="R55" s="12">
        <f ca="1">IFERROR(__xludf.DUMMYFUNCTION("""COMPUTED_VALUE"""),0.5)</f>
        <v>0.5</v>
      </c>
      <c r="S55"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Se entrega un listado de los manuales, guias y protocolos que actualmente tienen el sector central y des"&amp;"centralizado de la alcaldia de Pereira.")</f>
        <v>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Se entrega un listado de los manuales, guias y protocolos que actualmente tienen el sector central y descentralizado de la alcaldia de Pereira.</v>
      </c>
      <c r="T55" s="11"/>
      <c r="U55" s="10"/>
    </row>
    <row r="56" spans="1:21" ht="37.5" customHeight="1" x14ac:dyDescent="0.2">
      <c r="A56" s="10" t="str">
        <f ca="1">IFERROR(__xludf.DUMMYFUNCTION("""COMPUTED_VALUE"""),"Información y Comunicación")</f>
        <v>Información y Comunicación</v>
      </c>
      <c r="B56" s="10" t="str">
        <f ca="1">IFERROR(__xludf.DUMMYFUNCTION("""COMPUTED_VALUE"""),"Gestión de la Información Estadística")</f>
        <v>Gestión de la Información Estadística</v>
      </c>
      <c r="C56" s="10" t="str">
        <f ca="1">IFERROR(__xludf.DUMMYFUNCTION("""COMPUTED_VALUE""")," Incluir el diccionario de la base datos, en la documentación de los registros administrativos de la entidad.")</f>
        <v xml:space="preserve"> Incluir el diccionario de la base datos, en la documentación de los registros administrativos de la entidad.</v>
      </c>
      <c r="D56" s="10" t="str">
        <f ca="1">IFERROR(__xludf.DUMMYFUNCTION("""COMPUTED_VALUE"""),"Implementación programa de fortalecimiento y aprovechamiento de registros administrativos")</f>
        <v>Implementación programa de fortalecimiento y aprovechamiento de registros administrativos</v>
      </c>
      <c r="E56"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56" s="11">
        <f ca="1">IFERROR(__xludf.DUMMYFUNCTION("""COMPUTED_VALUE"""),44650)</f>
        <v>44650</v>
      </c>
      <c r="G56" s="11">
        <f ca="1">IFERROR(__xludf.DUMMYFUNCTION("""COMPUTED_VALUE"""),44926)</f>
        <v>44926</v>
      </c>
      <c r="H56" s="10" t="str">
        <f ca="1">IFERROR(__xludf.DUMMYFUNCTION("""COMPUTED_VALUE"""),"SECRETARÍA DE PLANEACIÓN Y ENTIDADES SISTEMA ESTADÍSTICO MUNICIPAL")</f>
        <v>SECRETARÍA DE PLANEACIÓN Y ENTIDADES SISTEMA ESTADÍSTICO MUNICIPAL</v>
      </c>
      <c r="I56" s="12">
        <f ca="1">IFERROR(__xludf.DUMMYFUNCTION("""COMPUTED_VALUE"""),0)</f>
        <v>0</v>
      </c>
      <c r="J56"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6" s="11">
        <f ca="1">IFERROR(__xludf.DUMMYFUNCTION("""COMPUTED_VALUE"""),44650)</f>
        <v>44650</v>
      </c>
      <c r="L56" s="12">
        <f ca="1">IFERROR(__xludf.DUMMYFUNCTION("""COMPUTED_VALUE"""),0.5)</f>
        <v>0.5</v>
      </c>
      <c r="M56" s="10" t="str">
        <f ca="1">IFERROR(__xludf.DUMMYFUNCTION("""COMPUTED_VALUE"""),"ESTA RECOMENDACIÓN  ESTÁ IMPLEMENTADA EN EL PLAN DE ACCIÓN. SE REALIZO TALLER DE FORTALECIMIENTO Y APROVECHAMIENTO DE RRAA. 07/03/2022. Cuadro de reportes de entrega de documentación (matriz, formatos) solicitada, actas de talleres relizados. Cuadro Conso"&amp;"lidado de Matriz de identificación de RA. ")</f>
        <v xml:space="preserve">ESTA RECOMENDACIÓN  ESTÁ IMPLEMENTADA EN EL PLAN DE ACCIÓN. SE REALIZO TALLER DE FORTALECIMIENTO Y APROVECHAMIENTO DE RRAA. 07/03/2022. Cuadro de reportes de entrega de documentación (matriz, formatos) solicitada, actas de talleres relizados. Cuadro Consolidado de Matriz de identificación de RA. </v>
      </c>
      <c r="N56" s="11">
        <f ca="1">IFERROR(__xludf.DUMMYFUNCTION("""COMPUTED_VALUE"""),44742)</f>
        <v>44742</v>
      </c>
      <c r="O56" s="12">
        <f ca="1">IFERROR(__xludf.DUMMYFUNCTION("""COMPUTED_VALUE"""),0.5)</f>
        <v>0.5</v>
      </c>
      <c r="P56"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6" s="11">
        <f ca="1">IFERROR(__xludf.DUMMYFUNCTION("""COMPUTED_VALUE"""),44834)</f>
        <v>44834</v>
      </c>
      <c r="R56" s="12">
        <f ca="1">IFERROR(__xludf.DUMMYFUNCTION("""COMPUTED_VALUE"""),1)</f>
        <v>1</v>
      </c>
      <c r="S56" s="10" t="str">
        <f ca="1">IFERROR(__xludf.DUMMYFUNCTION("""COMPUTED_VALUE"""),"Se entrega Diccionarios consolidades de las entidades del Sistema Estadistico Municipal ")</f>
        <v xml:space="preserve">Se entrega Diccionarios consolidades de las entidades del Sistema Estadistico Municipal </v>
      </c>
      <c r="T56" s="11">
        <f ca="1">IFERROR(__xludf.DUMMYFUNCTION("""COMPUTED_VALUE"""),44925)</f>
        <v>44925</v>
      </c>
      <c r="U56" s="10"/>
    </row>
    <row r="57" spans="1:21" ht="37.5" customHeight="1" x14ac:dyDescent="0.2">
      <c r="A57" s="10" t="str">
        <f ca="1">IFERROR(__xludf.DUMMYFUNCTION("""COMPUTED_VALUE"""),"Información y Comunicación")</f>
        <v>Información y Comunicación</v>
      </c>
      <c r="B57" s="10" t="str">
        <f ca="1">IFERROR(__xludf.DUMMYFUNCTION("""COMPUTED_VALUE"""),"Gestión de la Información Estadística")</f>
        <v>Gestión de la Información Estadística</v>
      </c>
      <c r="C57" s="10" t="str">
        <f ca="1">IFERROR(__xludf.DUMMYFUNCTION("""COMPUTED_VALUE"""),"Incluir las reglas de validación y consistencia de las bases de datos, en la documentación de los registros administrativos de la entidad.")</f>
        <v>Incluir las reglas de validación y consistencia de las bases de datos, en la documentación de los registros administrativos de la entidad.</v>
      </c>
      <c r="D57" s="10" t="str">
        <f ca="1">IFERROR(__xludf.DUMMYFUNCTION("""COMPUTED_VALUE"""),"Implementación programa de fortalecimiento y aprovechamiento de registros administrativos")</f>
        <v>Implementación programa de fortalecimiento y aprovechamiento de registros administrativos</v>
      </c>
      <c r="E57" s="10" t="str">
        <f ca="1">IFERROR(__xludf.DUMMYFUNCTION("""COMPUTED_VALUE"""),"Porcentaje de implementación del programa de fortalecimiento y aprovechamiento de registros administrativos FASE I")</f>
        <v>Porcentaje de implementación del programa de fortalecimiento y aprovechamiento de registros administrativos FASE I</v>
      </c>
      <c r="F57" s="11">
        <f ca="1">IFERROR(__xludf.DUMMYFUNCTION("""COMPUTED_VALUE"""),44650)</f>
        <v>44650</v>
      </c>
      <c r="G57" s="11">
        <f ca="1">IFERROR(__xludf.DUMMYFUNCTION("""COMPUTED_VALUE"""),44926)</f>
        <v>44926</v>
      </c>
      <c r="H57" s="10" t="str">
        <f ca="1">IFERROR(__xludf.DUMMYFUNCTION("""COMPUTED_VALUE"""),"SECRETARÍA DE PLANEACIÓN Y ENTIDADES SISTEMA ESTADÍSTICO MUNICIPAL")</f>
        <v>SECRETARÍA DE PLANEACIÓN Y ENTIDADES SISTEMA ESTADÍSTICO MUNICIPAL</v>
      </c>
      <c r="I57" s="12">
        <f ca="1">IFERROR(__xludf.DUMMYFUNCTION("""COMPUTED_VALUE"""),0)</f>
        <v>0</v>
      </c>
      <c r="J57"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K57" s="11">
        <f ca="1">IFERROR(__xludf.DUMMYFUNCTION("""COMPUTED_VALUE"""),44650)</f>
        <v>44650</v>
      </c>
      <c r="L57" s="12">
        <f ca="1">IFERROR(__xludf.DUMMYFUNCTION("""COMPUTED_VALUE"""),0.5)</f>
        <v>0.5</v>
      </c>
      <c r="M57" s="10" t="str">
        <f ca="1">IFERROR(__xludf.DUMMYFUNCTION("""COMPUTED_VALUE"""),"ESTA RECOMENDACIÓN  ESTÁ IMPLEMENTADA EN EL PLAN DE ACCIÓN. SE REALIZO TALLER DE FORTALECIMIENTO Y APROVECHAMIENTO DE RRAA. 07/03/2022. Cuadro de reportes de entrega de documentación (matriz, formatos) solicitada, actas de talleres relizados. Cuadro Conso"&amp;"lidado de Matriz de identificación de RA. ")</f>
        <v xml:space="preserve">ESTA RECOMENDACIÓN  ESTÁ IMPLEMENTADA EN EL PLAN DE ACCIÓN. SE REALIZO TALLER DE FORTALECIMIENTO Y APROVECHAMIENTO DE RRAA. 07/03/2022. Cuadro de reportes de entrega de documentación (matriz, formatos) solicitada, actas de talleres relizados. Cuadro Consolidado de Matriz de identificación de RA. </v>
      </c>
      <c r="N57" s="11">
        <f ca="1">IFERROR(__xludf.DUMMYFUNCTION("""COMPUTED_VALUE"""),44742)</f>
        <v>44742</v>
      </c>
      <c r="O57" s="12">
        <f ca="1">IFERROR(__xludf.DUMMYFUNCTION("""COMPUTED_VALUE"""),0.5)</f>
        <v>0.5</v>
      </c>
      <c r="P57"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7" s="11">
        <f ca="1">IFERROR(__xludf.DUMMYFUNCTION("""COMPUTED_VALUE"""),44834)</f>
        <v>44834</v>
      </c>
      <c r="R57" s="12">
        <f ca="1">IFERROR(__xludf.DUMMYFUNCTION("""COMPUTED_VALUE"""),1)</f>
        <v>1</v>
      </c>
      <c r="S57" s="10" t="str">
        <f ca="1">IFERROR(__xludf.DUMMYFUNCTION("""COMPUTED_VALUE"""),"Se entrega Diccionarios consolidades de las entidades del Sistema Estadistico Municipal ")</f>
        <v xml:space="preserve">Se entrega Diccionarios consolidades de las entidades del Sistema Estadistico Municipal </v>
      </c>
      <c r="T57" s="11">
        <f ca="1">IFERROR(__xludf.DUMMYFUNCTION("""COMPUTED_VALUE"""),44925)</f>
        <v>44925</v>
      </c>
      <c r="U57" s="10"/>
    </row>
    <row r="58" spans="1:21" ht="37.5" customHeight="1" x14ac:dyDescent="0.2">
      <c r="A58" s="10" t="str">
        <f ca="1">IFERROR(__xludf.DUMMYFUNCTION("""COMPUTED_VALUE"""),"Información y Comunicación")</f>
        <v>Información y Comunicación</v>
      </c>
      <c r="B58" s="10" t="str">
        <f ca="1">IFERROR(__xludf.DUMMYFUNCTION("""COMPUTED_VALUE"""),"Gestión de la Información Estadística")</f>
        <v>Gestión de la Información Estadística</v>
      </c>
      <c r="C58" s="10" t="str">
        <f ca="1">IFERROR(__xludf.DUMMYFUNCTION("""COMPUTED_VALUE"""),"Incluir el objetivo, en la ficha técnica de los registros administrativos de la entidad.")</f>
        <v>Incluir el objetivo, en la ficha técnica de los registros administrativos de la entidad.</v>
      </c>
      <c r="D58" s="10" t="str">
        <f ca="1">IFERROR(__xludf.DUMMYFUNCTION("""COMPUTED_VALUE"""),"Implementación programa de fortalecimiento y aprovechamiento de registros administrativos
")</f>
        <v xml:space="preserve">Implementación programa de fortalecimiento y aprovechamiento de registros administrativos
</v>
      </c>
      <c r="E58"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58" s="11">
        <f ca="1">IFERROR(__xludf.DUMMYFUNCTION("""COMPUTED_VALUE"""),44774)</f>
        <v>44774</v>
      </c>
      <c r="G58" s="11">
        <f ca="1">IFERROR(__xludf.DUMMYFUNCTION("""COMPUTED_VALUE"""),44926)</f>
        <v>44926</v>
      </c>
      <c r="H58" s="10" t="str">
        <f ca="1">IFERROR(__xludf.DUMMYFUNCTION("""COMPUTED_VALUE"""),"SECRETARÍA DE PLANEACIÓN Y ENTIDADES SISTEMA ESTADÍSTICO MUNICIPAL")</f>
        <v>SECRETARÍA DE PLANEACIÓN Y ENTIDADES SISTEMA ESTADÍSTICO MUNICIPAL</v>
      </c>
      <c r="I58" s="12"/>
      <c r="J58" s="10"/>
      <c r="K58" s="11"/>
      <c r="L58" s="12">
        <f ca="1">IFERROR(__xludf.DUMMYFUNCTION("""COMPUTED_VALUE"""),0.5)</f>
        <v>0.5</v>
      </c>
      <c r="M58"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N58" s="11">
        <f ca="1">IFERROR(__xludf.DUMMYFUNCTION("""COMPUTED_VALUE"""),44742)</f>
        <v>44742</v>
      </c>
      <c r="O58" s="12">
        <f ca="1">IFERROR(__xludf.DUMMYFUNCTION("""COMPUTED_VALUE"""),0.5)</f>
        <v>0.5</v>
      </c>
      <c r="P58"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8" s="11">
        <f ca="1">IFERROR(__xludf.DUMMYFUNCTION("""COMPUTED_VALUE"""),44834)</f>
        <v>44834</v>
      </c>
      <c r="R58" s="12">
        <f ca="1">IFERROR(__xludf.DUMMYFUNCTION("""COMPUTED_VALUE"""),0.8)</f>
        <v>0.8</v>
      </c>
      <c r="S58" s="10" t="str">
        <f ca="1">IFERROR(__xludf.DUMMYFUNCTION("""COMPUTED_VALUE"""),"Consolidacion de la ficha técnica ")</f>
        <v xml:space="preserve">Consolidacion de la ficha técnica </v>
      </c>
      <c r="T58" s="11">
        <f ca="1">IFERROR(__xludf.DUMMYFUNCTION("""COMPUTED_VALUE"""),44925)</f>
        <v>44925</v>
      </c>
      <c r="U58" s="10"/>
    </row>
    <row r="59" spans="1:21" ht="37.5" customHeight="1" x14ac:dyDescent="0.2">
      <c r="A59" s="10" t="str">
        <f ca="1">IFERROR(__xludf.DUMMYFUNCTION("""COMPUTED_VALUE"""),"Información y Comunicación")</f>
        <v>Información y Comunicación</v>
      </c>
      <c r="B59" s="10" t="str">
        <f ca="1">IFERROR(__xludf.DUMMYFUNCTION("""COMPUTED_VALUE"""),"Gestión de la Información Estadística")</f>
        <v>Gestión de la Información Estadística</v>
      </c>
      <c r="C59" s="10" t="str">
        <f ca="1">IFERROR(__xludf.DUMMYFUNCTION("""COMPUTED_VALUE"""),"Incluir la unidad de observación, en la ficha técnica de los registros administrativos de la entidad.")</f>
        <v>Incluir la unidad de observación, en la ficha técnica de los registros administrativos de la entidad.</v>
      </c>
      <c r="D59" s="10" t="str">
        <f ca="1">IFERROR(__xludf.DUMMYFUNCTION("""COMPUTED_VALUE"""),"Implementación programa de fortalecimiento y aprovechamiento de registros administrativos
")</f>
        <v xml:space="preserve">Implementación programa de fortalecimiento y aprovechamiento de registros administrativos
</v>
      </c>
      <c r="E59"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59" s="11">
        <f ca="1">IFERROR(__xludf.DUMMYFUNCTION("""COMPUTED_VALUE"""),44774)</f>
        <v>44774</v>
      </c>
      <c r="G59" s="11">
        <f ca="1">IFERROR(__xludf.DUMMYFUNCTION("""COMPUTED_VALUE"""),44926)</f>
        <v>44926</v>
      </c>
      <c r="H59" s="10" t="str">
        <f ca="1">IFERROR(__xludf.DUMMYFUNCTION("""COMPUTED_VALUE"""),"SECRETARÍA DE PLANEACIÓN Y ENTIDADES SISTEMA ESTADÍSTICO MUNICIPAL")</f>
        <v>SECRETARÍA DE PLANEACIÓN Y ENTIDADES SISTEMA ESTADÍSTICO MUNICIPAL</v>
      </c>
      <c r="I59" s="12"/>
      <c r="J59" s="10"/>
      <c r="K59" s="11"/>
      <c r="L59" s="12">
        <f ca="1">IFERROR(__xludf.DUMMYFUNCTION("""COMPUTED_VALUE"""),0.5)</f>
        <v>0.5</v>
      </c>
      <c r="M59"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N59" s="11">
        <f ca="1">IFERROR(__xludf.DUMMYFUNCTION("""COMPUTED_VALUE"""),44742)</f>
        <v>44742</v>
      </c>
      <c r="O59" s="12">
        <f ca="1">IFERROR(__xludf.DUMMYFUNCTION("""COMPUTED_VALUE"""),0.5)</f>
        <v>0.5</v>
      </c>
      <c r="P59"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59" s="11">
        <f ca="1">IFERROR(__xludf.DUMMYFUNCTION("""COMPUTED_VALUE"""),44834)</f>
        <v>44834</v>
      </c>
      <c r="R59" s="12">
        <f ca="1">IFERROR(__xludf.DUMMYFUNCTION("""COMPUTED_VALUE"""),0.8)</f>
        <v>0.8</v>
      </c>
      <c r="S59" s="10" t="str">
        <f ca="1">IFERROR(__xludf.DUMMYFUNCTION("""COMPUTED_VALUE"""),"Consolidacion de la ficha técnica ")</f>
        <v xml:space="preserve">Consolidacion de la ficha técnica </v>
      </c>
      <c r="T59" s="11">
        <f ca="1">IFERROR(__xludf.DUMMYFUNCTION("""COMPUTED_VALUE"""),44925)</f>
        <v>44925</v>
      </c>
      <c r="U59" s="10"/>
    </row>
    <row r="60" spans="1:21" ht="37.5" customHeight="1" x14ac:dyDescent="0.2">
      <c r="A60" s="10" t="str">
        <f ca="1">IFERROR(__xludf.DUMMYFUNCTION("""COMPUTED_VALUE"""),"Información y Comunicación")</f>
        <v>Información y Comunicación</v>
      </c>
      <c r="B60" s="10" t="str">
        <f ca="1">IFERROR(__xludf.DUMMYFUNCTION("""COMPUTED_VALUE"""),"Gestión de la Información Estadística")</f>
        <v>Gestión de la Información Estadística</v>
      </c>
      <c r="C60" s="10" t="str">
        <f ca="1">IFERROR(__xludf.DUMMYFUNCTION("""COMPUTED_VALUE""")," Incluir las variables, en la ficha técnica de los registros administrativos de la entidad.")</f>
        <v xml:space="preserve"> Incluir las variables, en la ficha técnica de los registros administrativos de la entidad.</v>
      </c>
      <c r="D60" s="10" t="str">
        <f ca="1">IFERROR(__xludf.DUMMYFUNCTION("""COMPUTED_VALUE"""),"Implementación programa de fortalecimiento y aprovechamiento de registros administrativos
")</f>
        <v xml:space="preserve">Implementación programa de fortalecimiento y aprovechamiento de registros administrativos
</v>
      </c>
      <c r="E60"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60" s="11">
        <f ca="1">IFERROR(__xludf.DUMMYFUNCTION("""COMPUTED_VALUE"""),44774)</f>
        <v>44774</v>
      </c>
      <c r="G60" s="11">
        <f ca="1">IFERROR(__xludf.DUMMYFUNCTION("""COMPUTED_VALUE"""),44926)</f>
        <v>44926</v>
      </c>
      <c r="H60" s="10" t="str">
        <f ca="1">IFERROR(__xludf.DUMMYFUNCTION("""COMPUTED_VALUE"""),"SECRETARÍA DE PLANEACIÓN Y ENTIDADES SISTEMA ESTADÍSTICO MUNICIPAL")</f>
        <v>SECRETARÍA DE PLANEACIÓN Y ENTIDADES SISTEMA ESTADÍSTICO MUNICIPAL</v>
      </c>
      <c r="I60" s="12"/>
      <c r="J60" s="10"/>
      <c r="K60" s="11"/>
      <c r="L60" s="12">
        <f ca="1">IFERROR(__xludf.DUMMYFUNCTION("""COMPUTED_VALUE"""),0.5)</f>
        <v>0.5</v>
      </c>
      <c r="M60"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N60" s="11">
        <f ca="1">IFERROR(__xludf.DUMMYFUNCTION("""COMPUTED_VALUE"""),44742)</f>
        <v>44742</v>
      </c>
      <c r="O60" s="12">
        <f ca="1">IFERROR(__xludf.DUMMYFUNCTION("""COMPUTED_VALUE"""),0.5)</f>
        <v>0.5</v>
      </c>
      <c r="P60"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60" s="11">
        <f ca="1">IFERROR(__xludf.DUMMYFUNCTION("""COMPUTED_VALUE"""),44834)</f>
        <v>44834</v>
      </c>
      <c r="R60" s="12">
        <f ca="1">IFERROR(__xludf.DUMMYFUNCTION("""COMPUTED_VALUE"""),0.8)</f>
        <v>0.8</v>
      </c>
      <c r="S60" s="10" t="str">
        <f ca="1">IFERROR(__xludf.DUMMYFUNCTION("""COMPUTED_VALUE"""),"Consolidacion de la ficha técnica ")</f>
        <v xml:space="preserve">Consolidacion de la ficha técnica </v>
      </c>
      <c r="T60" s="11">
        <f ca="1">IFERROR(__xludf.DUMMYFUNCTION("""COMPUTED_VALUE"""),44925)</f>
        <v>44925</v>
      </c>
      <c r="U60" s="10"/>
    </row>
    <row r="61" spans="1:21" ht="37.5" customHeight="1" x14ac:dyDescent="0.2">
      <c r="A61" s="10" t="str">
        <f ca="1">IFERROR(__xludf.DUMMYFUNCTION("""COMPUTED_VALUE"""),"Información y Comunicación")</f>
        <v>Información y Comunicación</v>
      </c>
      <c r="B61" s="10" t="str">
        <f ca="1">IFERROR(__xludf.DUMMYFUNCTION("""COMPUTED_VALUE"""),"Gestión de la Información Estadística")</f>
        <v>Gestión de la Información Estadística</v>
      </c>
      <c r="C61" s="10" t="str">
        <f ca="1">IFERROR(__xludf.DUMMYFUNCTION("""COMPUTED_VALUE"""),"Definir responsables de generar los datos para el procesamiento y análisis de la información.")</f>
        <v>Definir responsables de generar los datos para el procesamiento y análisis de la información.</v>
      </c>
      <c r="D61" s="10" t="str">
        <f ca="1">IFERROR(__xludf.DUMMYFUNCTION("""COMPUTED_VALUE"""),"Implementación programa de fortalecimiento y aprovechamiento de registros administrativos")</f>
        <v>Implementación programa de fortalecimiento y aprovechamiento de registros administrativos</v>
      </c>
      <c r="E61"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61" s="11">
        <f ca="1">IFERROR(__xludf.DUMMYFUNCTION("""COMPUTED_VALUE"""),44774)</f>
        <v>44774</v>
      </c>
      <c r="G61" s="11">
        <f ca="1">IFERROR(__xludf.DUMMYFUNCTION("""COMPUTED_VALUE"""),44926)</f>
        <v>44926</v>
      </c>
      <c r="H61" s="10" t="str">
        <f ca="1">IFERROR(__xludf.DUMMYFUNCTION("""COMPUTED_VALUE"""),"SECRETARÍA DE PLANEACIÓN Y ENTIDADES SISTEMA ESTADÍSTICO MUNICIPAL")</f>
        <v>SECRETARÍA DE PLANEACIÓN Y ENTIDADES SISTEMA ESTADÍSTICO MUNICIPAL</v>
      </c>
      <c r="I61" s="12"/>
      <c r="J61" s="10"/>
      <c r="K61" s="11"/>
      <c r="L61" s="12">
        <f ca="1">IFERROR(__xludf.DUMMYFUNCTION("""COMPUTED_VALUE"""),0.5)</f>
        <v>0.5</v>
      </c>
      <c r="M61"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N61" s="11">
        <f ca="1">IFERROR(__xludf.DUMMYFUNCTION("""COMPUTED_VALUE"""),44742)</f>
        <v>44742</v>
      </c>
      <c r="O61" s="12">
        <f ca="1">IFERROR(__xludf.DUMMYFUNCTION("""COMPUTED_VALUE"""),0.5)</f>
        <v>0.5</v>
      </c>
      <c r="P61"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61" s="11">
        <f ca="1">IFERROR(__xludf.DUMMYFUNCTION("""COMPUTED_VALUE"""),44834)</f>
        <v>44834</v>
      </c>
      <c r="R61" s="12">
        <f ca="1">IFERROR(__xludf.DUMMYFUNCTION("""COMPUTED_VALUE"""),1)</f>
        <v>1</v>
      </c>
      <c r="S61" s="10" t="str">
        <f ca="1">IFERROR(__xludf.DUMMYFUNCTION("""COMPUTED_VALUE"""),"Se definieron los responsables de la revision y analisis de la informacion de las bases de datos.")</f>
        <v>Se definieron los responsables de la revision y analisis de la informacion de las bases de datos.</v>
      </c>
      <c r="T61" s="11">
        <f ca="1">IFERROR(__xludf.DUMMYFUNCTION("""COMPUTED_VALUE"""),44925)</f>
        <v>44925</v>
      </c>
      <c r="U61" s="10"/>
    </row>
    <row r="62" spans="1:21" ht="37.5" customHeight="1" x14ac:dyDescent="0.2">
      <c r="A62" s="10" t="str">
        <f ca="1">IFERROR(__xludf.DUMMYFUNCTION("""COMPUTED_VALUE"""),"Información y Comunicación")</f>
        <v>Información y Comunicación</v>
      </c>
      <c r="B62" s="10" t="str">
        <f ca="1">IFERROR(__xludf.DUMMYFUNCTION("""COMPUTED_VALUE"""),"Gestión de la Información Estadística")</f>
        <v>Gestión de la Información Estadística</v>
      </c>
      <c r="C62" s="10" t="str">
        <f ca="1">IFERROR(__xludf.DUMMYFUNCTION("""COMPUTED_VALUE"""),"Establecer mecanismos de validación de los datos para el procesamiento y análisis de la información.")</f>
        <v>Establecer mecanismos de validación de los datos para el procesamiento y análisis de la información.</v>
      </c>
      <c r="D62" s="10" t="str">
        <f ca="1">IFERROR(__xludf.DUMMYFUNCTION("""COMPUTED_VALUE"""),"Implementación programa de fortalecimiento y aprovechamiento de registros administrativos")</f>
        <v>Implementación programa de fortalecimiento y aprovechamiento de registros administrativos</v>
      </c>
      <c r="E62"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62" s="11">
        <f ca="1">IFERROR(__xludf.DUMMYFUNCTION("""COMPUTED_VALUE"""),44774)</f>
        <v>44774</v>
      </c>
      <c r="G62" s="11">
        <f ca="1">IFERROR(__xludf.DUMMYFUNCTION("""COMPUTED_VALUE"""),44926)</f>
        <v>44926</v>
      </c>
      <c r="H62" s="10" t="str">
        <f ca="1">IFERROR(__xludf.DUMMYFUNCTION("""COMPUTED_VALUE"""),"SECRETARÍA DE PLANEACIÓN Y ENTIDADES SISTEMA ESTADÍSTICO MUNICIPAL")</f>
        <v>SECRETARÍA DE PLANEACIÓN Y ENTIDADES SISTEMA ESTADÍSTICO MUNICIPAL</v>
      </c>
      <c r="I62" s="12"/>
      <c r="J62" s="10"/>
      <c r="K62" s="11"/>
      <c r="L62" s="12">
        <f ca="1">IFERROR(__xludf.DUMMYFUNCTION("""COMPUTED_VALUE"""),0.5)</f>
        <v>0.5</v>
      </c>
      <c r="M62"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N62" s="11">
        <f ca="1">IFERROR(__xludf.DUMMYFUNCTION("""COMPUTED_VALUE"""),44742)</f>
        <v>44742</v>
      </c>
      <c r="O62" s="12">
        <f ca="1">IFERROR(__xludf.DUMMYFUNCTION("""COMPUTED_VALUE"""),0.5)</f>
        <v>0.5</v>
      </c>
      <c r="P62"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62" s="11">
        <f ca="1">IFERROR(__xludf.DUMMYFUNCTION("""COMPUTED_VALUE"""),44834)</f>
        <v>44834</v>
      </c>
      <c r="R62" s="12">
        <f ca="1">IFERROR(__xludf.DUMMYFUNCTION("""COMPUTED_VALUE"""),1)</f>
        <v>1</v>
      </c>
      <c r="S62" s="10" t="str">
        <f ca="1">IFERROR(__xludf.DUMMYFUNCTION("""COMPUTED_VALUE"""),"Se establecieron mecanismos de validación de los datos para el procesamiento y análisis de la información.")</f>
        <v>Se establecieron mecanismos de validación de los datos para el procesamiento y análisis de la información.</v>
      </c>
      <c r="T62" s="11">
        <f ca="1">IFERROR(__xludf.DUMMYFUNCTION("""COMPUTED_VALUE"""),44925)</f>
        <v>44925</v>
      </c>
      <c r="U62" s="10"/>
    </row>
    <row r="63" spans="1:21" ht="37.5" customHeight="1" x14ac:dyDescent="0.2">
      <c r="A63" s="10" t="str">
        <f ca="1">IFERROR(__xludf.DUMMYFUNCTION("""COMPUTED_VALUE"""),"Información y Comunicación")</f>
        <v>Información y Comunicación</v>
      </c>
      <c r="B63" s="10" t="str">
        <f ca="1">IFERROR(__xludf.DUMMYFUNCTION("""COMPUTED_VALUE"""),"Gestión de la Información Estadística")</f>
        <v>Gestión de la Información Estadística</v>
      </c>
      <c r="C63" s="10" t="str">
        <f ca="1">IFERROR(__xludf.DUMMYFUNCTION("""COMPUTED_VALUE"""),"Definir la utilidad de los datos para el procesamiento y análisis de la información.")</f>
        <v>Definir la utilidad de los datos para el procesamiento y análisis de la información.</v>
      </c>
      <c r="D63" s="10" t="str">
        <f ca="1">IFERROR(__xludf.DUMMYFUNCTION("""COMPUTED_VALUE"""),"Implementación programa de fortalecimiento y aprovechamiento de registros administrativos")</f>
        <v>Implementación programa de fortalecimiento y aprovechamiento de registros administrativos</v>
      </c>
      <c r="E63" s="10" t="str">
        <f ca="1">IFERROR(__xludf.DUMMYFUNCTION("""COMPUTED_VALUE"""),"Porcentaje de implementación del programa de fortalecimiento y aprovechamiento de registros administrativos.")</f>
        <v>Porcentaje de implementación del programa de fortalecimiento y aprovechamiento de registros administrativos.</v>
      </c>
      <c r="F63" s="11">
        <f ca="1">IFERROR(__xludf.DUMMYFUNCTION("""COMPUTED_VALUE"""),44774)</f>
        <v>44774</v>
      </c>
      <c r="G63" s="11">
        <f ca="1">IFERROR(__xludf.DUMMYFUNCTION("""COMPUTED_VALUE"""),44926)</f>
        <v>44926</v>
      </c>
      <c r="H63" s="10" t="str">
        <f ca="1">IFERROR(__xludf.DUMMYFUNCTION("""COMPUTED_VALUE"""),"SECRETARÍA DE PLANEACIÓN Y ENTIDADES SISTEMA ESTADÍSTICO MUNICIPAL")</f>
        <v>SECRETARÍA DE PLANEACIÓN Y ENTIDADES SISTEMA ESTADÍSTICO MUNICIPAL</v>
      </c>
      <c r="I63" s="12"/>
      <c r="J63" s="10"/>
      <c r="K63" s="11"/>
      <c r="L63" s="12">
        <f ca="1">IFERROR(__xludf.DUMMYFUNCTION("""COMPUTED_VALUE"""),0.5)</f>
        <v>0.5</v>
      </c>
      <c r="M63" s="10" t="str">
        <f ca="1">IFERROR(__xludf.DUMMYFUNCTION("""COMPUTED_VALUE"""),"ESTA RECOMENDACIÓN  ESTÁ IMPLEMENTADA EN EL PLAN DE ACCIÓN. SE REALIZO TALLER DE FORTALECIMIENTO Y APROVECHAMIENTO DE RRAA. 07/03/2022.  ")</f>
        <v xml:space="preserve">ESTA RECOMENDACIÓN  ESTÁ IMPLEMENTADA EN EL PLAN DE ACCIÓN. SE REALIZO TALLER DE FORTALECIMIENTO Y APROVECHAMIENTO DE RRAA. 07/03/2022.  </v>
      </c>
      <c r="N63" s="11">
        <f ca="1">IFERROR(__xludf.DUMMYFUNCTION("""COMPUTED_VALUE"""),44742)</f>
        <v>44742</v>
      </c>
      <c r="O63" s="12">
        <f ca="1">IFERROR(__xludf.DUMMYFUNCTION("""COMPUTED_VALUE"""),0.5)</f>
        <v>0.5</v>
      </c>
      <c r="P63"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63" s="11">
        <f ca="1">IFERROR(__xludf.DUMMYFUNCTION("""COMPUTED_VALUE"""),44834)</f>
        <v>44834</v>
      </c>
      <c r="R63" s="12">
        <f ca="1">IFERROR(__xludf.DUMMYFUNCTION("""COMPUTED_VALUE"""),1)</f>
        <v>1</v>
      </c>
      <c r="S63" s="10" t="str">
        <f ca="1">IFERROR(__xludf.DUMMYFUNCTION("""COMPUTED_VALUE"""),"Mediante la aplicacion del formulario de caracterizacion de RRAA anexo 4 se define la utilidad de los RRAA")</f>
        <v>Mediante la aplicacion del formulario de caracterizacion de RRAA anexo 4 se define la utilidad de los RRAA</v>
      </c>
      <c r="T63" s="11">
        <f ca="1">IFERROR(__xludf.DUMMYFUNCTION("""COMPUTED_VALUE"""),44925)</f>
        <v>44925</v>
      </c>
      <c r="U63" s="10"/>
    </row>
    <row r="64" spans="1:21" ht="37.5" customHeight="1" x14ac:dyDescent="0.2">
      <c r="A64" s="10" t="str">
        <f ca="1">IFERROR(__xludf.DUMMYFUNCTION("""COMPUTED_VALUE"""),"Información y Comunicación")</f>
        <v>Información y Comunicación</v>
      </c>
      <c r="B64" s="10" t="str">
        <f ca="1">IFERROR(__xludf.DUMMYFUNCTION("""COMPUTED_VALUE"""),"Gestión de la Información Estadística")</f>
        <v>Gestión de la Información Estadística</v>
      </c>
      <c r="C64" s="10" t="str">
        <f ca="1">IFERROR(__xludf.DUMMYFUNCTION("""COMPUTED_VALUE"""),"Publicar en la página web de la entidad, para disposición de los grupos de interés, las bases de datos anonimizadas de las operaciones estadísticas.")</f>
        <v>Publicar en la página web de la entidad, para disposición de los grupos de interés, las bases de datos anonimizadas de las operaciones estadísticas.</v>
      </c>
      <c r="D64" s="10" t="str">
        <f ca="1">IFERROR(__xludf.DUMMYFUNCTION("""COMPUTED_VALUE"""),"Bases de datos publicadas")</f>
        <v>Bases de datos publicadas</v>
      </c>
      <c r="E64" s="10" t="str">
        <f ca="1">IFERROR(__xludf.DUMMYFUNCTION("""COMPUTED_VALUE"""),"Publicar en la página  web las bases de datos anonimizadas")</f>
        <v>Publicar en la página  web las bases de datos anonimizadas</v>
      </c>
      <c r="F64" s="11">
        <f ca="1">IFERROR(__xludf.DUMMYFUNCTION("""COMPUTED_VALUE"""),44593)</f>
        <v>44593</v>
      </c>
      <c r="G64" s="11">
        <f ca="1">IFERROR(__xludf.DUMMYFUNCTION("""COMPUTED_VALUE"""),44925)</f>
        <v>44925</v>
      </c>
      <c r="H64" s="10" t="str">
        <f ca="1">IFERROR(__xludf.DUMMYFUNCTION("""COMPUTED_VALUE"""),"TICS")</f>
        <v>TICS</v>
      </c>
      <c r="I64" s="12">
        <f ca="1">IFERROR(__xludf.DUMMYFUNCTION("""COMPUTED_VALUE"""),0)</f>
        <v>0</v>
      </c>
      <c r="J64" s="10" t="str">
        <f ca="1">IFERROR(__xludf.DUMMYFUNCTION("""COMPUTED_VALUE"""),"Nota: Se publicaran sólo las bases de datos que provienen de registros administrativos, ya que en la  Alcaldía no hay operaciones estadísticas y que sean suministradas por las entidades
En el portal web de la Alcaldía,  cuenta con el espacio para la publ"&amp;"icación de información, pero las bases de datos anonimizadas deben ser suministradas por los responsables de los procesos.
")</f>
        <v xml:space="preserve">Nota: Se publicaran sólo las bases de datos que provienen de registros administrativos, ya que en la  Alcaldía no hay operaciones estadísticas y que sean suministradas por las entidades
En el portal web de la Alcaldía,  cuenta con el espacio para la publicación de información, pero las bases de datos anonimizadas deben ser suministradas por los responsables de los procesos.
</v>
      </c>
      <c r="K64" s="11">
        <f ca="1">IFERROR(__xludf.DUMMYFUNCTION("""COMPUTED_VALUE"""),44650)</f>
        <v>44650</v>
      </c>
      <c r="L64" s="12">
        <f ca="1">IFERROR(__xludf.DUMMYFUNCTION("""COMPUTED_VALUE"""),0)</f>
        <v>0</v>
      </c>
      <c r="M64" s="10" t="str">
        <f ca="1">IFERROR(__xludf.DUMMYFUNCTION("""COMPUTED_VALUE"""),"Nota: Se publicaran sólo las bases de datos que provienen de registros administrativos, ya que en la Alcaldía no hay operaciones estadísticas y que sean suministradas por las entidades
 En el portal web de la Alcaldía, cuenta con el espacio para la publ"&amp;"icación de información, pero las bases de datos anonimizadas deben ser suministradas por los responsables de los procesos.")</f>
        <v>Nota: Se publicaran sólo las bases de datos que provienen de registros administrativos, ya que en la Alcaldía no hay operaciones estadísticas y que sean suministradas por las entidades
 En el portal web de la Alcaldía, cuenta con el espacio para la publicación de información, pero las bases de datos anonimizadas deben ser suministradas por los responsables de los procesos.</v>
      </c>
      <c r="N64" s="11">
        <f ca="1">IFERROR(__xludf.DUMMYFUNCTION("""COMPUTED_VALUE"""),44742)</f>
        <v>44742</v>
      </c>
      <c r="O64" s="12">
        <f ca="1">IFERROR(__xludf.DUMMYFUNCTION("""COMPUTED_VALUE"""),0.5)</f>
        <v>0.5</v>
      </c>
      <c r="P6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64" s="11">
        <f ca="1">IFERROR(__xludf.DUMMYFUNCTION("""COMPUTED_VALUE"""),44834)</f>
        <v>44834</v>
      </c>
      <c r="R64" s="12">
        <f ca="1">IFERROR(__xludf.DUMMYFUNCTION("""COMPUTED_VALUE"""),0.5)</f>
        <v>0.5</v>
      </c>
      <c r="S64"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T64" s="11">
        <f ca="1">IFERROR(__xludf.DUMMYFUNCTION("""COMPUTED_VALUE"""),44925)</f>
        <v>44925</v>
      </c>
      <c r="U64" s="10"/>
    </row>
    <row r="65" spans="1:21" ht="37.5" customHeight="1" x14ac:dyDescent="0.2">
      <c r="A65" s="10" t="str">
        <f ca="1">IFERROR(__xludf.DUMMYFUNCTION("""COMPUTED_VALUE"""),"Información y Comunicación")</f>
        <v>Información y Comunicación</v>
      </c>
      <c r="B65" s="10" t="str">
        <f ca="1">IFERROR(__xludf.DUMMYFUNCTION("""COMPUTED_VALUE"""),"Gestión de la Información Estadística")</f>
        <v>Gestión de la Información Estadística</v>
      </c>
      <c r="C65" s="10" t="str">
        <f ca="1">IFERROR(__xludf.DUMMYFUNCTION("""COMPUTED_VALUE"""),"Publicar en la página web de la entidad, para disposición de los grupos de interés, la ficha metodológica de sus operaciones estadísticas.")</f>
        <v>Publicar en la página web de la entidad, para disposición de los grupos de interés, la ficha metodológica de sus operaciones estadísticas.</v>
      </c>
      <c r="D65" s="10" t="str">
        <f ca="1">IFERROR(__xludf.DUMMYFUNCTION("""COMPUTED_VALUE"""),"Operaciones Esdísticas Identificadas")</f>
        <v>Operaciones Esdísticas Identificadas</v>
      </c>
      <c r="E65" s="10" t="str">
        <f ca="1">IFERROR(__xludf.DUMMYFUNCTION("""COMPUTED_VALUE"""),"Numero de Operaciones Estadísticas")</f>
        <v>Numero de Operaciones Estadísticas</v>
      </c>
      <c r="F65" s="11">
        <f ca="1">IFERROR(__xludf.DUMMYFUNCTION("""COMPUTED_VALUE"""),44941)</f>
        <v>44941</v>
      </c>
      <c r="G65" s="11">
        <f ca="1">IFERROR(__xludf.DUMMYFUNCTION("""COMPUTED_VALUE"""),45291)</f>
        <v>45291</v>
      </c>
      <c r="H65" s="10" t="str">
        <f ca="1">IFERROR(__xludf.DUMMYFUNCTION("""COMPUTED_VALUE"""),"REPRESENTANTES DEL COMITÉ TÉCNICO DE ESTADÍSTICA DEL SECTOR CENTRAL Y DESCENTRALIZADO")</f>
        <v>REPRESENTANTES DEL COMITÉ TÉCNICO DE ESTADÍSTICA DEL SECTOR CENTRAL Y DESCENTRALIZADO</v>
      </c>
      <c r="I65" s="12"/>
      <c r="J65" s="10"/>
      <c r="K65" s="11"/>
      <c r="L65" s="12">
        <f ca="1">IFERROR(__xludf.DUMMYFUNCTION("""COMPUTED_VALUE"""),0)</f>
        <v>0</v>
      </c>
      <c r="M65" s="10" t="str">
        <f ca="1">IFERROR(__xludf.DUMMYFUNCTION("""COMPUTED_VALUE"""),"Estos programas para el desarrollo estadístico, no se aplican en la Alcaldía ya que no se requieren en las etapas iniciales del sistema estadístico")</f>
        <v>Estos programas para el desarrollo estadístico, no se aplican en la Alcaldía ya que no se requieren en las etapas iniciales del sistema estadístico</v>
      </c>
      <c r="N65" s="11">
        <f ca="1">IFERROR(__xludf.DUMMYFUNCTION("""COMPUTED_VALUE"""),44742)</f>
        <v>44742</v>
      </c>
      <c r="O65" s="12"/>
      <c r="P65" s="10"/>
      <c r="Q65" s="11"/>
      <c r="R65" s="12">
        <f ca="1">IFERROR(__xludf.DUMMYFUNCTION("""COMPUTED_VALUE"""),0)</f>
        <v>0</v>
      </c>
      <c r="S65" s="10" t="str">
        <f ca="1">IFERROR(__xludf.DUMMYFUNCTION("""COMPUTED_VALUE"""),"Estas acciones estan programadas para desarrollarse en año 2024")</f>
        <v>Estas acciones estan programadas para desarrollarse en año 2024</v>
      </c>
      <c r="T65" s="11">
        <f ca="1">IFERROR(__xludf.DUMMYFUNCTION("""COMPUTED_VALUE"""),44925)</f>
        <v>44925</v>
      </c>
      <c r="U65" s="10"/>
    </row>
    <row r="66" spans="1:21" ht="37.5" customHeight="1" x14ac:dyDescent="0.2">
      <c r="A66" s="10" t="str">
        <f ca="1">IFERROR(__xludf.DUMMYFUNCTION("""COMPUTED_VALUE"""),"Información y Comunicación")</f>
        <v>Información y Comunicación</v>
      </c>
      <c r="B66" s="10" t="str">
        <f ca="1">IFERROR(__xludf.DUMMYFUNCTION("""COMPUTED_VALUE"""),"Gestión de la Información Estadística")</f>
        <v>Gestión de la Información Estadística</v>
      </c>
      <c r="C66" s="10" t="str">
        <f ca="1">IFERROR(__xludf.DUMMYFUNCTION("""COMPUTED_VALUE"""),"Publicar en la página web, el documento metodológico de operaciones estadísticas, para disposición de los grupos de valor de la entidad.")</f>
        <v>Publicar en la página web, el documento metodológico de operaciones estadísticas, para disposición de los grupos de valor de la entidad.</v>
      </c>
      <c r="D66" s="10" t="str">
        <f ca="1">IFERROR(__xludf.DUMMYFUNCTION("""COMPUTED_VALUE"""),"Operaciones Esdísticas Identificadas")</f>
        <v>Operaciones Esdísticas Identificadas</v>
      </c>
      <c r="E66" s="10" t="str">
        <f ca="1">IFERROR(__xludf.DUMMYFUNCTION("""COMPUTED_VALUE"""),"Numero de Operaciones Estadísticas")</f>
        <v>Numero de Operaciones Estadísticas</v>
      </c>
      <c r="F66" s="11">
        <f ca="1">IFERROR(__xludf.DUMMYFUNCTION("""COMPUTED_VALUE"""),44941)</f>
        <v>44941</v>
      </c>
      <c r="G66" s="11">
        <f ca="1">IFERROR(__xludf.DUMMYFUNCTION("""COMPUTED_VALUE"""),45291)</f>
        <v>45291</v>
      </c>
      <c r="H66" s="10" t="str">
        <f ca="1">IFERROR(__xludf.DUMMYFUNCTION("""COMPUTED_VALUE"""),"REPRESENTANTES DEL COMITÉ TÉCNICO DE ESTADÍSTICA DEL SECTOR CENTRAL Y DESCENTRALIZADO")</f>
        <v>REPRESENTANTES DEL COMITÉ TÉCNICO DE ESTADÍSTICA DEL SECTOR CENTRAL Y DESCENTRALIZADO</v>
      </c>
      <c r="I66" s="12"/>
      <c r="J66" s="10"/>
      <c r="K66" s="11"/>
      <c r="L66" s="12">
        <f ca="1">IFERROR(__xludf.DUMMYFUNCTION("""COMPUTED_VALUE"""),0)</f>
        <v>0</v>
      </c>
      <c r="M66" s="10" t="str">
        <f ca="1">IFERROR(__xludf.DUMMYFUNCTION("""COMPUTED_VALUE"""),"Estos programas para el desarrollo estadístico, no se aplican en la Alcaldía ya que no se requieren en las etapas iniciales del sistema estadístico")</f>
        <v>Estos programas para el desarrollo estadístico, no se aplican en la Alcaldía ya que no se requieren en las etapas iniciales del sistema estadístico</v>
      </c>
      <c r="N66" s="11">
        <f ca="1">IFERROR(__xludf.DUMMYFUNCTION("""COMPUTED_VALUE"""),44742)</f>
        <v>44742</v>
      </c>
      <c r="O66" s="12"/>
      <c r="P66" s="10"/>
      <c r="Q66" s="11"/>
      <c r="R66" s="12"/>
      <c r="S66" s="10" t="str">
        <f ca="1">IFERROR(__xludf.DUMMYFUNCTION("""COMPUTED_VALUE"""),"Estas acciones estan programadas para desarrollarse en año 2024")</f>
        <v>Estas acciones estan programadas para desarrollarse en año 2024</v>
      </c>
      <c r="T66" s="11">
        <f ca="1">IFERROR(__xludf.DUMMYFUNCTION("""COMPUTED_VALUE"""),44925)</f>
        <v>44925</v>
      </c>
      <c r="U66" s="10"/>
    </row>
    <row r="67" spans="1:21" ht="37.5" customHeight="1" x14ac:dyDescent="0.2">
      <c r="A67" s="10" t="str">
        <f ca="1">IFERROR(__xludf.DUMMYFUNCTION("""COMPUTED_VALUE"""),"Información y Comunicación")</f>
        <v>Información y Comunicación</v>
      </c>
      <c r="B67" s="10" t="str">
        <f ca="1">IFERROR(__xludf.DUMMYFUNCTION("""COMPUTED_VALUE"""),"Gestión de la Información Estadística")</f>
        <v>Gestión de la Información Estadística</v>
      </c>
      <c r="C67" s="10" t="str">
        <f ca="1">IFERROR(__xludf.DUMMYFUNCTION("""COMPUTED_VALUE"""),"Definir y ejecutar un plan de mejoramiento para mejorar los registros administrativos de la entidad.")</f>
        <v>Definir y ejecutar un plan de mejoramiento para mejorar los registros administrativos de la entidad.</v>
      </c>
      <c r="D67" s="10" t="str">
        <f ca="1">IFERROR(__xludf.DUMMYFUNCTION("""COMPUTED_VALUE"""),"Seguimiento a la Implementación programa de fortalecimiento y aprovechamiento de registros administrativos")</f>
        <v>Seguimiento a la Implementación programa de fortalecimiento y aprovechamiento de registros administrativos</v>
      </c>
      <c r="E67" s="10" t="str">
        <f ca="1">IFERROR(__xludf.DUMMYFUNCTION("""COMPUTED_VALUE"""),"Porcentaje de avance de plan de mejoramiento del programa de RA.")</f>
        <v>Porcentaje de avance de plan de mejoramiento del programa de RA.</v>
      </c>
      <c r="F67" s="11">
        <f ca="1">IFERROR(__xludf.DUMMYFUNCTION("""COMPUTED_VALUE"""),44576)</f>
        <v>44576</v>
      </c>
      <c r="G67" s="11">
        <f ca="1">IFERROR(__xludf.DUMMYFUNCTION("""COMPUTED_VALUE"""),44926)</f>
        <v>44926</v>
      </c>
      <c r="H67" s="10" t="str">
        <f ca="1">IFERROR(__xludf.DUMMYFUNCTION("""COMPUTED_VALUE"""),"SECRETARÍA DE PLANEACIÓN Y ENTIDADES SISTEMA ESTADÍSTICO MUNICIPAL")</f>
        <v>SECRETARÍA DE PLANEACIÓN Y ENTIDADES SISTEMA ESTADÍSTICO MUNICIPAL</v>
      </c>
      <c r="I67" s="12"/>
      <c r="J67" s="10"/>
      <c r="K67" s="11"/>
      <c r="L67" s="12">
        <f ca="1">IFERROR(__xludf.DUMMYFUNCTION("""COMPUTED_VALUE"""),0)</f>
        <v>0</v>
      </c>
      <c r="M67" s="10" t="str">
        <f ca="1">IFERROR(__xludf.DUMMYFUNCTION("""COMPUTED_VALUE"""),"""Cuadro de reportes de entrega de documentación (matriz, formatos) solicitada, actas de talleres relizados. 
Se esta llevando  a cabo el Diagnostico de RRAA. """"Metodología de Diagnóstico de los Registros Administrativos para su aprovechamiento estadíst"&amp;"ico"""" se anexa cuadro reporte e invetnarios.""
")</f>
        <v xml:space="preserve">"Cuadro de reportes de entrega de documentación (matriz, formatos) solicitada, actas de talleres relizados. 
Se esta llevando  a cabo el Diagnostico de RRAA. ""Metodología de Diagnóstico de los Registros Administrativos para su aprovechamiento estadístico"" se anexa cuadro reporte e invetnarios."
</v>
      </c>
      <c r="N67" s="11">
        <f ca="1">IFERROR(__xludf.DUMMYFUNCTION("""COMPUTED_VALUE"""),44742)</f>
        <v>44742</v>
      </c>
      <c r="O67" s="12">
        <f ca="1">IFERROR(__xludf.DUMMYFUNCTION("""COMPUTED_VALUE"""),0.5)</f>
        <v>0.5</v>
      </c>
      <c r="P67" s="10" t="str">
        <f ca="1">IFERROR(__xludf.DUMMYFUNCTION("""COMPUTED_VALUE"""),"Se consolidó el inventario de servidores públicos que administran bases de datos o sistemas de información del sector central y descentralizado de la Alcaldía de Pereira para identificar los registros administrativos que se tienen el municipio. Esta activ"&amp;"idad es un insumo para comenzar la implementación en el año 2022 del programa de fortalecimiento de registros administrativos.
 Nota: Si bien el DANE plantea una serie de actividades para desarrollar el programa de fortalecimiento y aprovechamiento de r"&amp;"egistros administrativos, no incluyó los cursos de formación especializados en el tema de registros administrativos, y cuando se notificó a la Alcaldía no había disponibilidad de cupos. Otro atenuante es que el equipo del Sistema Estadístico se encuentra "&amp;"realizando la formulación del Plan Estadístico.
 16/09/2021: Capacitación Registros Administrativos dictada por el DANE en el marco de las capacitaciones del Sistema Estadístico Nacional. Por parte de la Alcaldía de Pereira asistieron los miembros de Co"&amp;"mité Técnico de Estadística-CTE y las personas que manejan bases de datos en la Alcaldía de Pereira.
 07/04/2022: Taller de fortaleciiento y aprovechamiento de los Registros Administrativos dictada por el DANE en el marco de las capacitaciones del Siste"&amp;"ma Estadístico Nacional. Por parte de la Alcaldía de Pereira asistieron los miembros de Comité Técnico de Estadística-CTE y las personas que manejan bases de datos en la Alcaldía de Pereira.
 Se cuenta de un inventario y carterizacion de los registros a"&amp;"dministrativos plan estadistico, plan de accion.
 Se entrega la matriz de caracterizacion de los registros administrativos de la alcaldia de Pereira.
")</f>
        <v xml:space="preserve">Se consolidó el inventario de servidores públicos que administran bases de datos o sistemas de información del sector central y descentralizado de la Alcaldía de Pereira para identificar los registros administrativos que se tienen el municipio. Esta actividad es un insumo para comenzar la implementación en el año 2022 del programa de fortalecimiento de registros administrativos.
 Nota: Si bien el DANE plantea una serie de actividades para desarrollar el programa de fortalecimiento y aprovechamiento de registros administrativos, no incluyó los cursos de formación especializados en el tema de registros administrativos, y cuando se notificó a la Alcaldía no había disponibilidad de cupos. Otro atenuante es que el equipo del Sistema Estadístico se encuentra realizando la formulación del Plan Estadístico.
 16/09/2021: Capacitación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07/04/2022: Taller de fortaleciiento y aprovechamiento de los Registros Administrativos dictada por el DANE en el marco de las capacitaciones del Sistema Estadístico Nacional. Por parte de la Alcaldía de Pereira asistieron los miembros de Comité Técnico de Estadística-CTE y las personas que manejan bases de datos en la Alcaldía de Pereira.
 Se cuenta de un inventario y carterizacion de los registros administrativos plan estadistico, plan de accion.
 Se entrega la matriz de caracterizacion de los registros administrativos de la alcaldia de Pereira.
</v>
      </c>
      <c r="Q67" s="11">
        <f ca="1">IFERROR(__xludf.DUMMYFUNCTION("""COMPUTED_VALUE"""),44834)</f>
        <v>44834</v>
      </c>
      <c r="R67" s="12"/>
      <c r="S67" s="10" t="str">
        <f ca="1">IFERROR(__xludf.DUMMYFUNCTION("""COMPUTED_VALUE"""),"Estas acciones estan programadas para desarrollarse en año 2024")</f>
        <v>Estas acciones estan programadas para desarrollarse en año 2024</v>
      </c>
      <c r="T67" s="11">
        <f ca="1">IFERROR(__xludf.DUMMYFUNCTION("""COMPUTED_VALUE"""),44925)</f>
        <v>44925</v>
      </c>
      <c r="U67" s="10"/>
    </row>
    <row r="68" spans="1:21" ht="37.5" customHeight="1" x14ac:dyDescent="0.2">
      <c r="A68" s="10" t="str">
        <f ca="1">IFERROR(__xludf.DUMMYFUNCTION("""COMPUTED_VALUE"""),"Información y Comunicación")</f>
        <v>Información y Comunicación</v>
      </c>
      <c r="B68" s="10" t="str">
        <f ca="1">IFERROR(__xludf.DUMMYFUNCTION("""COMPUTED_VALUE"""),"Gestión de la Información Estadística")</f>
        <v>Gestión de la Información Estadística</v>
      </c>
      <c r="C68" s="10" t="str">
        <f ca="1">IFERROR(__xludf.DUMMYFUNCTION("""COMPUTED_VALUE"""),"Incluir los procesos de anonimización de las bases de datos, en la documentación de los registros administrativos de la entidad.")</f>
        <v>Incluir los procesos de anonimización de las bases de datos, en la documentación de los registros administrativos de la entidad.</v>
      </c>
      <c r="D68" s="10" t="str">
        <f ca="1">IFERROR(__xludf.DUMMYFUNCTION("""COMPUTED_VALUE"""),"Anonimizacion de Bases de daatos")</f>
        <v>Anonimizacion de Bases de daatos</v>
      </c>
      <c r="E68" s="10" t="str">
        <f ca="1">IFERROR(__xludf.DUMMYFUNCTION("""COMPUTED_VALUE"""),"Porcentaje de anonimizacion de Base de datos.")</f>
        <v>Porcentaje de anonimizacion de Base de datos.</v>
      </c>
      <c r="F68" s="11">
        <f ca="1">IFERROR(__xludf.DUMMYFUNCTION("""COMPUTED_VALUE"""),44577)</f>
        <v>44577</v>
      </c>
      <c r="G68" s="11"/>
      <c r="H68" s="10" t="str">
        <f ca="1">IFERROR(__xludf.DUMMYFUNCTION("""COMPUTED_VALUE"""),"SECRETARÍA DE PLANEACIÓN Y ENTIDADES SISTEMA ESTADÍSTICO MUNICIPAL")</f>
        <v>SECRETARÍA DE PLANEACIÓN Y ENTIDADES SISTEMA ESTADÍSTICO MUNICIPAL</v>
      </c>
      <c r="I68" s="12"/>
      <c r="J68" s="10"/>
      <c r="K68" s="11"/>
      <c r="L68" s="12">
        <f ca="1">IFERROR(__xludf.DUMMYFUNCTION("""COMPUTED_VALUE"""),0)</f>
        <v>0</v>
      </c>
      <c r="M68" s="10"/>
      <c r="N68" s="11">
        <f ca="1">IFERROR(__xludf.DUMMYFUNCTION("""COMPUTED_VALUE"""),44742)</f>
        <v>44742</v>
      </c>
      <c r="O68" s="12"/>
      <c r="P68" s="10"/>
      <c r="Q68" s="11"/>
      <c r="R68" s="12"/>
      <c r="S68" s="10" t="str">
        <f ca="1">IFERROR(__xludf.DUMMYFUNCTION("""COMPUTED_VALUE"""),"Estas acciones estan programadas para desarrollarse en año 2024")</f>
        <v>Estas acciones estan programadas para desarrollarse en año 2024</v>
      </c>
      <c r="T68" s="11">
        <f ca="1">IFERROR(__xludf.DUMMYFUNCTION("""COMPUTED_VALUE"""),44925)</f>
        <v>44925</v>
      </c>
      <c r="U68" s="10"/>
    </row>
    <row r="69" spans="1:21" ht="37.5" customHeight="1" x14ac:dyDescent="0.2">
      <c r="A69" s="10" t="str">
        <f ca="1">IFERROR(__xludf.DUMMYFUNCTION("""COMPUTED_VALUE"""),"Información y Comunicación")</f>
        <v>Información y Comunicación</v>
      </c>
      <c r="B69" s="10" t="str">
        <f ca="1">IFERROR(__xludf.DUMMYFUNCTION("""COMPUTED_VALUE"""),"Gestión de la Información Estadística")</f>
        <v>Gestión de la Información Estadística</v>
      </c>
      <c r="C69" s="10" t="str">
        <f ca="1">IFERROR(__xludf.DUMMYFUNCTION("""COMPUTED_VALUE"""),"Incluir el objetivo en la documentación metodológica de las operaciones estadísticas de la entidad.")</f>
        <v>Incluir el objetivo en la documentación metodológica de las operaciones estadísticas de la entidad.</v>
      </c>
      <c r="D69" s="10" t="str">
        <f ca="1">IFERROR(__xludf.DUMMYFUNCTION("""COMPUTED_VALUE"""),"Operaciones Estadísticas Identificadas")</f>
        <v>Operaciones Estadísticas Identificadas</v>
      </c>
      <c r="E69" s="10" t="str">
        <f ca="1">IFERROR(__xludf.DUMMYFUNCTION("""COMPUTED_VALUE"""),"Numero de Operaciones Estadísticas")</f>
        <v>Numero de Operaciones Estadísticas</v>
      </c>
      <c r="F69" s="11">
        <f ca="1">IFERROR(__xludf.DUMMYFUNCTION("""COMPUTED_VALUE"""),44941)</f>
        <v>44941</v>
      </c>
      <c r="G69" s="11">
        <f ca="1">IFERROR(__xludf.DUMMYFUNCTION("""COMPUTED_VALUE"""),44941)</f>
        <v>44941</v>
      </c>
      <c r="H69" s="10" t="str">
        <f ca="1">IFERROR(__xludf.DUMMYFUNCTION("""COMPUTED_VALUE"""),"REPRESENTANTES DEL COMITÉ  TÉCNICO DE ESTADÍSTICA DEL SECTOR CENTRAL Y DESCENTRALIZADO")</f>
        <v>REPRESENTANTES DEL COMITÉ  TÉCNICO DE ESTADÍSTICA DEL SECTOR CENTRAL Y DESCENTRALIZADO</v>
      </c>
      <c r="I69" s="12">
        <f ca="1">IFERROR(__xludf.DUMMYFUNCTION("""COMPUTED_VALUE"""),0)</f>
        <v>0</v>
      </c>
      <c r="J69"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69" s="11">
        <f ca="1">IFERROR(__xludf.DUMMYFUNCTION("""COMPUTED_VALUE"""),44650)</f>
        <v>44650</v>
      </c>
      <c r="L69" s="12">
        <f ca="1">IFERROR(__xludf.DUMMYFUNCTION("""COMPUTED_VALUE"""),0)</f>
        <v>0</v>
      </c>
      <c r="M69" s="10"/>
      <c r="N69" s="11">
        <f ca="1">IFERROR(__xludf.DUMMYFUNCTION("""COMPUTED_VALUE"""),44742)</f>
        <v>44742</v>
      </c>
      <c r="O69" s="12"/>
      <c r="P69" s="10"/>
      <c r="Q69" s="11"/>
      <c r="R69" s="12"/>
      <c r="S69" s="10" t="str">
        <f ca="1">IFERROR(__xludf.DUMMYFUNCTION("""COMPUTED_VALUE"""),"Estas acciones estan programadas para desarrollarse en año 2024")</f>
        <v>Estas acciones estan programadas para desarrollarse en año 2024</v>
      </c>
      <c r="T69" s="11">
        <f ca="1">IFERROR(__xludf.DUMMYFUNCTION("""COMPUTED_VALUE"""),44925)</f>
        <v>44925</v>
      </c>
      <c r="U69" s="10"/>
    </row>
    <row r="70" spans="1:21" ht="37.5" customHeight="1" x14ac:dyDescent="0.2">
      <c r="A70" s="10" t="str">
        <f ca="1">IFERROR(__xludf.DUMMYFUNCTION("""COMPUTED_VALUE"""),"Información y Comunicación")</f>
        <v>Información y Comunicación</v>
      </c>
      <c r="B70" s="10" t="str">
        <f ca="1">IFERROR(__xludf.DUMMYFUNCTION("""COMPUTED_VALUE"""),"Gestión de la Información Estadística")</f>
        <v>Gestión de la Información Estadística</v>
      </c>
      <c r="C70" s="10" t="str">
        <f ca="1">IFERROR(__xludf.DUMMYFUNCTION("""COMPUTED_VALUE""")," Incluir el marco normativo, en la documentación metodológica de las operaciones estadísticas de la entidad.")</f>
        <v xml:space="preserve"> Incluir el marco normativo, en la documentación metodológica de las operaciones estadísticas de la entidad.</v>
      </c>
      <c r="D70" s="10" t="str">
        <f ca="1">IFERROR(__xludf.DUMMYFUNCTION("""COMPUTED_VALUE"""),"Operaciones Estadísticas Identificadas")</f>
        <v>Operaciones Estadísticas Identificadas</v>
      </c>
      <c r="E70" s="10" t="str">
        <f ca="1">IFERROR(__xludf.DUMMYFUNCTION("""COMPUTED_VALUE"""),"Numero de Operaciones Estadísticas")</f>
        <v>Numero de Operaciones Estadísticas</v>
      </c>
      <c r="F70" s="11">
        <f ca="1">IFERROR(__xludf.DUMMYFUNCTION("""COMPUTED_VALUE"""),44941)</f>
        <v>44941</v>
      </c>
      <c r="G70" s="11">
        <f ca="1">IFERROR(__xludf.DUMMYFUNCTION("""COMPUTED_VALUE"""),44941)</f>
        <v>44941</v>
      </c>
      <c r="H70" s="10" t="str">
        <f ca="1">IFERROR(__xludf.DUMMYFUNCTION("""COMPUTED_VALUE"""),"REPRESENTANTES DEL COMITÉ  TÉCNICO DE ESTADÍSTICA DEL SECTOR CENTRAL Y DESCENTRALIZADO")</f>
        <v>REPRESENTANTES DEL COMITÉ  TÉCNICO DE ESTADÍSTICA DEL SECTOR CENTRAL Y DESCENTRALIZADO</v>
      </c>
      <c r="I70" s="12">
        <f ca="1">IFERROR(__xludf.DUMMYFUNCTION("""COMPUTED_VALUE"""),0)</f>
        <v>0</v>
      </c>
      <c r="J70"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0" s="11">
        <f ca="1">IFERROR(__xludf.DUMMYFUNCTION("""COMPUTED_VALUE"""),44650)</f>
        <v>44650</v>
      </c>
      <c r="L70" s="12">
        <f ca="1">IFERROR(__xludf.DUMMYFUNCTION("""COMPUTED_VALUE"""),0)</f>
        <v>0</v>
      </c>
      <c r="M70" s="10"/>
      <c r="N70" s="11">
        <f ca="1">IFERROR(__xludf.DUMMYFUNCTION("""COMPUTED_VALUE"""),44742)</f>
        <v>44742</v>
      </c>
      <c r="O70" s="12"/>
      <c r="P70" s="10"/>
      <c r="Q70" s="11"/>
      <c r="R70" s="12"/>
      <c r="S70" s="10" t="str">
        <f ca="1">IFERROR(__xludf.DUMMYFUNCTION("""COMPUTED_VALUE"""),"Estas acciones estan programadas para desarrollarse en año 2024")</f>
        <v>Estas acciones estan programadas para desarrollarse en año 2024</v>
      </c>
      <c r="T70" s="11">
        <f ca="1">IFERROR(__xludf.DUMMYFUNCTION("""COMPUTED_VALUE"""),44925)</f>
        <v>44925</v>
      </c>
      <c r="U70" s="10"/>
    </row>
    <row r="71" spans="1:21" ht="37.5" customHeight="1" x14ac:dyDescent="0.2">
      <c r="A71" s="10" t="str">
        <f ca="1">IFERROR(__xludf.DUMMYFUNCTION("""COMPUTED_VALUE"""),"Información y Comunicación")</f>
        <v>Información y Comunicación</v>
      </c>
      <c r="B71" s="10" t="str">
        <f ca="1">IFERROR(__xludf.DUMMYFUNCTION("""COMPUTED_VALUE"""),"Gestión de la Información Estadística")</f>
        <v>Gestión de la Información Estadística</v>
      </c>
      <c r="C71" s="10" t="str">
        <f ca="1">IFERROR(__xludf.DUMMYFUNCTION("""COMPUTED_VALUE"""),"Incluir las variables, en la documentación metodológica de las operaciones estadísticas de la entidad.")</f>
        <v>Incluir las variables, en la documentación metodológica de las operaciones estadísticas de la entidad.</v>
      </c>
      <c r="D71" s="10" t="str">
        <f ca="1">IFERROR(__xludf.DUMMYFUNCTION("""COMPUTED_VALUE"""),"Operaciones Estadísticas Identificadas")</f>
        <v>Operaciones Estadísticas Identificadas</v>
      </c>
      <c r="E71" s="10" t="str">
        <f ca="1">IFERROR(__xludf.DUMMYFUNCTION("""COMPUTED_VALUE"""),"Numero de Operaciones Estadísticas")</f>
        <v>Numero de Operaciones Estadísticas</v>
      </c>
      <c r="F71" s="11">
        <f ca="1">IFERROR(__xludf.DUMMYFUNCTION("""COMPUTED_VALUE"""),44941)</f>
        <v>44941</v>
      </c>
      <c r="G71" s="11">
        <f ca="1">IFERROR(__xludf.DUMMYFUNCTION("""COMPUTED_VALUE"""),44941)</f>
        <v>44941</v>
      </c>
      <c r="H71" s="10" t="str">
        <f ca="1">IFERROR(__xludf.DUMMYFUNCTION("""COMPUTED_VALUE"""),"REPRESENTANTES DEL COMITÉ  TÉCNICO DE ESTADÍSTICA DEL SECTOR CENTRAL Y DESCENTRALIZADO")</f>
        <v>REPRESENTANTES DEL COMITÉ  TÉCNICO DE ESTADÍSTICA DEL SECTOR CENTRAL Y DESCENTRALIZADO</v>
      </c>
      <c r="I71" s="12">
        <f ca="1">IFERROR(__xludf.DUMMYFUNCTION("""COMPUTED_VALUE"""),0)</f>
        <v>0</v>
      </c>
      <c r="J71"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1" s="11">
        <f ca="1">IFERROR(__xludf.DUMMYFUNCTION("""COMPUTED_VALUE"""),44650)</f>
        <v>44650</v>
      </c>
      <c r="L71" s="12">
        <f ca="1">IFERROR(__xludf.DUMMYFUNCTION("""COMPUTED_VALUE"""),0)</f>
        <v>0</v>
      </c>
      <c r="M71" s="10"/>
      <c r="N71" s="11">
        <f ca="1">IFERROR(__xludf.DUMMYFUNCTION("""COMPUTED_VALUE"""),44742)</f>
        <v>44742</v>
      </c>
      <c r="O71" s="12"/>
      <c r="P71" s="10"/>
      <c r="Q71" s="11"/>
      <c r="R71" s="12"/>
      <c r="S71" s="10" t="str">
        <f ca="1">IFERROR(__xludf.DUMMYFUNCTION("""COMPUTED_VALUE"""),"Estas acciones estan programadas para desarrollarse en año 2024")</f>
        <v>Estas acciones estan programadas para desarrollarse en año 2024</v>
      </c>
      <c r="T71" s="11">
        <f ca="1">IFERROR(__xludf.DUMMYFUNCTION("""COMPUTED_VALUE"""),44925)</f>
        <v>44925</v>
      </c>
      <c r="U71" s="10"/>
    </row>
    <row r="72" spans="1:21" ht="37.5" customHeight="1" x14ac:dyDescent="0.2">
      <c r="A72" s="10" t="str">
        <f ca="1">IFERROR(__xludf.DUMMYFUNCTION("""COMPUTED_VALUE"""),"Información y Comunicación")</f>
        <v>Información y Comunicación</v>
      </c>
      <c r="B72" s="10" t="str">
        <f ca="1">IFERROR(__xludf.DUMMYFUNCTION("""COMPUTED_VALUE"""),"Gestión de la Información Estadística")</f>
        <v>Gestión de la Información Estadística</v>
      </c>
      <c r="C72" s="10" t="str">
        <f ca="1">IFERROR(__xludf.DUMMYFUNCTION("""COMPUTED_VALUE"""),"Incluir la unidad de observación, en la documentación metodológica de las operaciones estadísticas de la entidad.")</f>
        <v>Incluir la unidad de observación, en la documentación metodológica de las operaciones estadísticas de la entidad.</v>
      </c>
      <c r="D72" s="10" t="str">
        <f ca="1">IFERROR(__xludf.DUMMYFUNCTION("""COMPUTED_VALUE"""),"Operaciones Estadísticas Identificadas")</f>
        <v>Operaciones Estadísticas Identificadas</v>
      </c>
      <c r="E72" s="10" t="str">
        <f ca="1">IFERROR(__xludf.DUMMYFUNCTION("""COMPUTED_VALUE"""),"Numero de Operaciones Estadísticas")</f>
        <v>Numero de Operaciones Estadísticas</v>
      </c>
      <c r="F72" s="11">
        <f ca="1">IFERROR(__xludf.DUMMYFUNCTION("""COMPUTED_VALUE"""),44941)</f>
        <v>44941</v>
      </c>
      <c r="G72" s="11">
        <f ca="1">IFERROR(__xludf.DUMMYFUNCTION("""COMPUTED_VALUE"""),44941)</f>
        <v>44941</v>
      </c>
      <c r="H72" s="10" t="str">
        <f ca="1">IFERROR(__xludf.DUMMYFUNCTION("""COMPUTED_VALUE"""),"REPRESENTANTES DEL COMITÉ  TÉCNICO DE ESTADÍSTICA DEL SECTOR CENTRAL Y DESCENTRALIZADO")</f>
        <v>REPRESENTANTES DEL COMITÉ  TÉCNICO DE ESTADÍSTICA DEL SECTOR CENTRAL Y DESCENTRALIZADO</v>
      </c>
      <c r="I72" s="12">
        <f ca="1">IFERROR(__xludf.DUMMYFUNCTION("""COMPUTED_VALUE"""),0)</f>
        <v>0</v>
      </c>
      <c r="J72"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2" s="11">
        <f ca="1">IFERROR(__xludf.DUMMYFUNCTION("""COMPUTED_VALUE"""),44650)</f>
        <v>44650</v>
      </c>
      <c r="L72" s="12">
        <f ca="1">IFERROR(__xludf.DUMMYFUNCTION("""COMPUTED_VALUE"""),0)</f>
        <v>0</v>
      </c>
      <c r="M72" s="10"/>
      <c r="N72" s="11">
        <f ca="1">IFERROR(__xludf.DUMMYFUNCTION("""COMPUTED_VALUE"""),44742)</f>
        <v>44742</v>
      </c>
      <c r="O72" s="12"/>
      <c r="P72" s="10"/>
      <c r="Q72" s="11"/>
      <c r="R72" s="12"/>
      <c r="S72" s="10" t="str">
        <f ca="1">IFERROR(__xludf.DUMMYFUNCTION("""COMPUTED_VALUE"""),"Estas acciones estan programadas para desarrollarse en año 2024")</f>
        <v>Estas acciones estan programadas para desarrollarse en año 2024</v>
      </c>
      <c r="T72" s="11">
        <f ca="1">IFERROR(__xludf.DUMMYFUNCTION("""COMPUTED_VALUE"""),44925)</f>
        <v>44925</v>
      </c>
      <c r="U72" s="10"/>
    </row>
    <row r="73" spans="1:21" ht="37.5" customHeight="1" x14ac:dyDescent="0.2">
      <c r="A73" s="10" t="str">
        <f ca="1">IFERROR(__xludf.DUMMYFUNCTION("""COMPUTED_VALUE"""),"Información y Comunicación")</f>
        <v>Información y Comunicación</v>
      </c>
      <c r="B73" s="10" t="str">
        <f ca="1">IFERROR(__xludf.DUMMYFUNCTION("""COMPUTED_VALUE"""),"Gestión de la Información Estadística")</f>
        <v>Gestión de la Información Estadística</v>
      </c>
      <c r="C73" s="10" t="str">
        <f ca="1">IFERROR(__xludf.DUMMYFUNCTION("""COMPUTED_VALUE"""),"Incluir el método de recolección, en la documentación metodológica de las operaciones estadísticas de la entidad.")</f>
        <v>Incluir el método de recolección, en la documentación metodológica de las operaciones estadísticas de la entidad.</v>
      </c>
      <c r="D73" s="10" t="str">
        <f ca="1">IFERROR(__xludf.DUMMYFUNCTION("""COMPUTED_VALUE"""),"Operaciones Estadísticas Identificadas")</f>
        <v>Operaciones Estadísticas Identificadas</v>
      </c>
      <c r="E73" s="10" t="str">
        <f ca="1">IFERROR(__xludf.DUMMYFUNCTION("""COMPUTED_VALUE"""),"Numero de Operaciones Estadísticas")</f>
        <v>Numero de Operaciones Estadísticas</v>
      </c>
      <c r="F73" s="11">
        <f ca="1">IFERROR(__xludf.DUMMYFUNCTION("""COMPUTED_VALUE"""),44941)</f>
        <v>44941</v>
      </c>
      <c r="G73" s="11">
        <f ca="1">IFERROR(__xludf.DUMMYFUNCTION("""COMPUTED_VALUE"""),44941)</f>
        <v>44941</v>
      </c>
      <c r="H73" s="10" t="str">
        <f ca="1">IFERROR(__xludf.DUMMYFUNCTION("""COMPUTED_VALUE"""),"REPRESENTANTES DEL COMITÉ  TÉCNICO DE ESTADÍSTICA DEL SECTOR CENTRAL Y DESCENTRALIZADO")</f>
        <v>REPRESENTANTES DEL COMITÉ  TÉCNICO DE ESTADÍSTICA DEL SECTOR CENTRAL Y DESCENTRALIZADO</v>
      </c>
      <c r="I73" s="12">
        <f ca="1">IFERROR(__xludf.DUMMYFUNCTION("""COMPUTED_VALUE"""),0)</f>
        <v>0</v>
      </c>
      <c r="J73"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3" s="11">
        <f ca="1">IFERROR(__xludf.DUMMYFUNCTION("""COMPUTED_VALUE"""),44650)</f>
        <v>44650</v>
      </c>
      <c r="L73" s="12">
        <f ca="1">IFERROR(__xludf.DUMMYFUNCTION("""COMPUTED_VALUE"""),0)</f>
        <v>0</v>
      </c>
      <c r="M73" s="10"/>
      <c r="N73" s="11">
        <f ca="1">IFERROR(__xludf.DUMMYFUNCTION("""COMPUTED_VALUE"""),44742)</f>
        <v>44742</v>
      </c>
      <c r="O73" s="12"/>
      <c r="P73" s="10"/>
      <c r="Q73" s="11"/>
      <c r="R73" s="12"/>
      <c r="S73" s="10" t="str">
        <f ca="1">IFERROR(__xludf.DUMMYFUNCTION("""COMPUTED_VALUE"""),"Estas acciones estan programadas para desarrollarse en año 2024")</f>
        <v>Estas acciones estan programadas para desarrollarse en año 2024</v>
      </c>
      <c r="T73" s="11">
        <f ca="1">IFERROR(__xludf.DUMMYFUNCTION("""COMPUTED_VALUE"""),44925)</f>
        <v>44925</v>
      </c>
      <c r="U73" s="10"/>
    </row>
    <row r="74" spans="1:21" ht="37.5" customHeight="1" x14ac:dyDescent="0.2">
      <c r="A74" s="10" t="str">
        <f ca="1">IFERROR(__xludf.DUMMYFUNCTION("""COMPUTED_VALUE"""),"Información y Comunicación")</f>
        <v>Información y Comunicación</v>
      </c>
      <c r="B74" s="10" t="str">
        <f ca="1">IFERROR(__xludf.DUMMYFUNCTION("""COMPUTED_VALUE"""),"Gestión de la Información Estadística")</f>
        <v>Gestión de la Información Estadística</v>
      </c>
      <c r="C74" s="10" t="str">
        <f ca="1">IFERROR(__xludf.DUMMYFUNCTION("""COMPUTED_VALUE"""),"Incluir los principales resultados, en la documentación metodológica de las operaciones estadísticas de la entidad.")</f>
        <v>Incluir los principales resultados, en la documentación metodológica de las operaciones estadísticas de la entidad.</v>
      </c>
      <c r="D74" s="10" t="str">
        <f ca="1">IFERROR(__xludf.DUMMYFUNCTION("""COMPUTED_VALUE"""),"Operaciones Estadísticas Identificadas")</f>
        <v>Operaciones Estadísticas Identificadas</v>
      </c>
      <c r="E74" s="10" t="str">
        <f ca="1">IFERROR(__xludf.DUMMYFUNCTION("""COMPUTED_VALUE"""),"Numero de Operaciones Estadísticas")</f>
        <v>Numero de Operaciones Estadísticas</v>
      </c>
      <c r="F74" s="11">
        <f ca="1">IFERROR(__xludf.DUMMYFUNCTION("""COMPUTED_VALUE"""),44941)</f>
        <v>44941</v>
      </c>
      <c r="G74" s="11">
        <f ca="1">IFERROR(__xludf.DUMMYFUNCTION("""COMPUTED_VALUE"""),44941)</f>
        <v>44941</v>
      </c>
      <c r="H74" s="10" t="str">
        <f ca="1">IFERROR(__xludf.DUMMYFUNCTION("""COMPUTED_VALUE"""),"REPRESENTANTES DEL COMITÉ  TÉCNICO DE ESTADÍSTICA DEL SECTOR CENTRAL Y DESCENTRALIZADO")</f>
        <v>REPRESENTANTES DEL COMITÉ  TÉCNICO DE ESTADÍSTICA DEL SECTOR CENTRAL Y DESCENTRALIZADO</v>
      </c>
      <c r="I74" s="12">
        <f ca="1">IFERROR(__xludf.DUMMYFUNCTION("""COMPUTED_VALUE"""),0)</f>
        <v>0</v>
      </c>
      <c r="J74"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4" s="11">
        <f ca="1">IFERROR(__xludf.DUMMYFUNCTION("""COMPUTED_VALUE"""),44650)</f>
        <v>44650</v>
      </c>
      <c r="L74" s="12">
        <f ca="1">IFERROR(__xludf.DUMMYFUNCTION("""COMPUTED_VALUE"""),0)</f>
        <v>0</v>
      </c>
      <c r="M74" s="10"/>
      <c r="N74" s="11">
        <f ca="1">IFERROR(__xludf.DUMMYFUNCTION("""COMPUTED_VALUE"""),44742)</f>
        <v>44742</v>
      </c>
      <c r="O74" s="12"/>
      <c r="P74" s="10"/>
      <c r="Q74" s="11"/>
      <c r="R74" s="12"/>
      <c r="S74" s="10" t="str">
        <f ca="1">IFERROR(__xludf.DUMMYFUNCTION("""COMPUTED_VALUE"""),"Estas acciones estan programadas para desarrollarse en año 2024")</f>
        <v>Estas acciones estan programadas para desarrollarse en año 2024</v>
      </c>
      <c r="T74" s="11">
        <f ca="1">IFERROR(__xludf.DUMMYFUNCTION("""COMPUTED_VALUE"""),44925)</f>
        <v>44925</v>
      </c>
      <c r="U74" s="10"/>
    </row>
    <row r="75" spans="1:21" ht="37.5" customHeight="1" x14ac:dyDescent="0.2">
      <c r="A75" s="10" t="str">
        <f ca="1">IFERROR(__xludf.DUMMYFUNCTION("""COMPUTED_VALUE"""),"Información y Comunicación")</f>
        <v>Información y Comunicación</v>
      </c>
      <c r="B75" s="10" t="str">
        <f ca="1">IFERROR(__xludf.DUMMYFUNCTION("""COMPUTED_VALUE"""),"Gestión de la Información Estadística")</f>
        <v>Gestión de la Información Estadística</v>
      </c>
      <c r="C75" s="10" t="str">
        <f ca="1">IFERROR(__xludf.DUMMYFUNCTION("""COMPUTED_VALUE""")," Incluir desagregaciones de los resultados, en la documentación metodológica de las operaciones estadísticas de la entidad.")</f>
        <v xml:space="preserve"> Incluir desagregaciones de los resultados, en la documentación metodológica de las operaciones estadísticas de la entidad.</v>
      </c>
      <c r="D75" s="10" t="str">
        <f ca="1">IFERROR(__xludf.DUMMYFUNCTION("""COMPUTED_VALUE"""),"Operaciones Estadísticas Identificadas")</f>
        <v>Operaciones Estadísticas Identificadas</v>
      </c>
      <c r="E75" s="10" t="str">
        <f ca="1">IFERROR(__xludf.DUMMYFUNCTION("""COMPUTED_VALUE"""),"Numero de Operaciones Estadísticas")</f>
        <v>Numero de Operaciones Estadísticas</v>
      </c>
      <c r="F75" s="11">
        <f ca="1">IFERROR(__xludf.DUMMYFUNCTION("""COMPUTED_VALUE"""),44941)</f>
        <v>44941</v>
      </c>
      <c r="G75" s="11">
        <f ca="1">IFERROR(__xludf.DUMMYFUNCTION("""COMPUTED_VALUE"""),44941)</f>
        <v>44941</v>
      </c>
      <c r="H75" s="10" t="str">
        <f ca="1">IFERROR(__xludf.DUMMYFUNCTION("""COMPUTED_VALUE"""),"REPRESENTANTES DEL COMITÉ  TÉCNICO DE ESTADÍSTICA DEL SECTOR CENTRAL Y DESCENTRALIZADO")</f>
        <v>REPRESENTANTES DEL COMITÉ  TÉCNICO DE ESTADÍSTICA DEL SECTOR CENTRAL Y DESCENTRALIZADO</v>
      </c>
      <c r="I75" s="12">
        <f ca="1">IFERROR(__xludf.DUMMYFUNCTION("""COMPUTED_VALUE"""),0)</f>
        <v>0</v>
      </c>
      <c r="J75"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5" s="11">
        <f ca="1">IFERROR(__xludf.DUMMYFUNCTION("""COMPUTED_VALUE"""),44650)</f>
        <v>44650</v>
      </c>
      <c r="L75" s="12">
        <f ca="1">IFERROR(__xludf.DUMMYFUNCTION("""COMPUTED_VALUE"""),0)</f>
        <v>0</v>
      </c>
      <c r="M75" s="10"/>
      <c r="N75" s="11">
        <f ca="1">IFERROR(__xludf.DUMMYFUNCTION("""COMPUTED_VALUE"""),44742)</f>
        <v>44742</v>
      </c>
      <c r="O75" s="12"/>
      <c r="P75" s="10"/>
      <c r="Q75" s="11"/>
      <c r="R75" s="12"/>
      <c r="S75" s="10" t="str">
        <f ca="1">IFERROR(__xludf.DUMMYFUNCTION("""COMPUTED_VALUE"""),"Estas acciones estan programadas para desarrollarse en año 2024")</f>
        <v>Estas acciones estan programadas para desarrollarse en año 2024</v>
      </c>
      <c r="T75" s="11">
        <f ca="1">IFERROR(__xludf.DUMMYFUNCTION("""COMPUTED_VALUE"""),44925)</f>
        <v>44925</v>
      </c>
      <c r="U75" s="10"/>
    </row>
    <row r="76" spans="1:21" ht="37.5" customHeight="1" x14ac:dyDescent="0.2">
      <c r="A76" s="10" t="str">
        <f ca="1">IFERROR(__xludf.DUMMYFUNCTION("""COMPUTED_VALUE"""),"Información y Comunicación")</f>
        <v>Información y Comunicación</v>
      </c>
      <c r="B76" s="10" t="str">
        <f ca="1">IFERROR(__xludf.DUMMYFUNCTION("""COMPUTED_VALUE"""),"Gestión de la Información Estadística")</f>
        <v>Gestión de la Información Estadística</v>
      </c>
      <c r="C76" s="10" t="str">
        <f ca="1">IFERROR(__xludf.DUMMYFUNCTION("""COMPUTED_VALUE""")," Incluir la periodicidad, en la documentación metodológica de las operaciones estadísticas de la entidad.")</f>
        <v xml:space="preserve"> Incluir la periodicidad, en la documentación metodológica de las operaciones estadísticas de la entidad.</v>
      </c>
      <c r="D76" s="10" t="str">
        <f ca="1">IFERROR(__xludf.DUMMYFUNCTION("""COMPUTED_VALUE"""),"Operaciones Estadísticas Identificadas")</f>
        <v>Operaciones Estadísticas Identificadas</v>
      </c>
      <c r="E76" s="10" t="str">
        <f ca="1">IFERROR(__xludf.DUMMYFUNCTION("""COMPUTED_VALUE"""),"Numero de Operaciones Estadísticas")</f>
        <v>Numero de Operaciones Estadísticas</v>
      </c>
      <c r="F76" s="11">
        <f ca="1">IFERROR(__xludf.DUMMYFUNCTION("""COMPUTED_VALUE"""),44941)</f>
        <v>44941</v>
      </c>
      <c r="G76" s="11">
        <f ca="1">IFERROR(__xludf.DUMMYFUNCTION("""COMPUTED_VALUE"""),44941)</f>
        <v>44941</v>
      </c>
      <c r="H76" s="10" t="str">
        <f ca="1">IFERROR(__xludf.DUMMYFUNCTION("""COMPUTED_VALUE"""),"REPRESENTANTES DEL COMITÉ  TÉCNICO DE ESTADÍSTICA DEL SECTOR CENTRAL Y DESCENTRALIZADO")</f>
        <v>REPRESENTANTES DEL COMITÉ  TÉCNICO DE ESTADÍSTICA DEL SECTOR CENTRAL Y DESCENTRALIZADO</v>
      </c>
      <c r="I76" s="12">
        <f ca="1">IFERROR(__xludf.DUMMYFUNCTION("""COMPUTED_VALUE"""),0)</f>
        <v>0</v>
      </c>
      <c r="J76" s="10" t="str">
        <f ca="1">IFERROR(__xludf.DUMMYFUNCTION("""COMPUTED_VALUE"""),"Nota:  Si bien la  Alcaldía no ha requerido operaciones estadísticas, si  contamos  con toda la  línea base de los indicadores del sector central y descentralizado del  municipio de pereira, con información detallada del metadato
LA LÍNEA BASE SE  ACTULIZ"&amp;"ARA PARA EL PERIDOD 2021-2022")</f>
        <v>Nota:  Si bien la  Alcaldía no ha requerido operaciones estadísticas, si  contamos  con toda la  línea base de los indicadores del sector central y descentralizado del  municipio de pereira, con información detallada del metadato
LA LÍNEA BASE SE  ACTULIZARA PARA EL PERIDOD 2021-2022</v>
      </c>
      <c r="K76" s="11">
        <f ca="1">IFERROR(__xludf.DUMMYFUNCTION("""COMPUTED_VALUE"""),44650)</f>
        <v>44650</v>
      </c>
      <c r="L76" s="12">
        <f ca="1">IFERROR(__xludf.DUMMYFUNCTION("""COMPUTED_VALUE"""),0)</f>
        <v>0</v>
      </c>
      <c r="M76" s="10"/>
      <c r="N76" s="11">
        <f ca="1">IFERROR(__xludf.DUMMYFUNCTION("""COMPUTED_VALUE"""),44742)</f>
        <v>44742</v>
      </c>
      <c r="O76" s="12"/>
      <c r="P76" s="10"/>
      <c r="Q76" s="11"/>
      <c r="R76" s="12"/>
      <c r="S76" s="10"/>
      <c r="T76" s="11"/>
      <c r="U76" s="10"/>
    </row>
    <row r="77" spans="1:21" ht="37.5" customHeight="1" x14ac:dyDescent="0.2">
      <c r="A77" s="10" t="str">
        <f ca="1">IFERROR(__xludf.DUMMYFUNCTION("""COMPUTED_VALUE"""),"Información y Comunicación")</f>
        <v>Información y Comunicación</v>
      </c>
      <c r="B77" s="10" t="str">
        <f ca="1">IFERROR(__xludf.DUMMYFUNCTION("""COMPUTED_VALUE"""),"Gestión de la Información Estadística")</f>
        <v>Gestión de la Información Estadística</v>
      </c>
      <c r="C77" s="10" t="str">
        <f ca="1">IFERROR(__xludf.DUMMYFUNCTION("""COMPUTED_VALUE"""),"Incluir el marco normativo, en la ficha técnica de los registros administrativos de la entidad.")</f>
        <v>Incluir el marco normativo, en la ficha técnica de los registros administrativos de la entidad.</v>
      </c>
      <c r="D77" s="10" t="str">
        <f ca="1">IFERROR(__xludf.DUMMYFUNCTION("""COMPUTED_VALUE"""),"Implementación programa de fortalecimiento y aprovechamiento de registros administrativos")</f>
        <v>Implementación programa de fortalecimiento y aprovechamiento de registros administrativos</v>
      </c>
      <c r="E77" s="10" t="str">
        <f ca="1">IFERROR(__xludf.DUMMYFUNCTION("""COMPUTED_VALUE"""),"Porcentaje de avance del marco normatovo de la ficha tecnica de RA")</f>
        <v>Porcentaje de avance del marco normatovo de la ficha tecnica de RA</v>
      </c>
      <c r="F77" s="11">
        <f ca="1">IFERROR(__xludf.DUMMYFUNCTION("""COMPUTED_VALUE"""),44941)</f>
        <v>44941</v>
      </c>
      <c r="G77" s="11">
        <f ca="1">IFERROR(__xludf.DUMMYFUNCTION("""COMPUTED_VALUE"""),45107)</f>
        <v>45107</v>
      </c>
      <c r="H77" s="10" t="str">
        <f ca="1">IFERROR(__xludf.DUMMYFUNCTION("""COMPUTED_VALUE"""),"SECRETARÍA DE PLANEACIÓN Y ENTIDADES SISTEMA ESTADÍSTICO MUNICIPAL")</f>
        <v>SECRETARÍA DE PLANEACIÓN Y ENTIDADES SISTEMA ESTADÍSTICO MUNICIPAL</v>
      </c>
      <c r="I77" s="12"/>
      <c r="J77" s="10"/>
      <c r="K77" s="11"/>
      <c r="L77" s="12">
        <f ca="1">IFERROR(__xludf.DUMMYFUNCTION("""COMPUTED_VALUE"""),0)</f>
        <v>0</v>
      </c>
      <c r="M77" s="10" t="str">
        <f ca="1">IFERROR(__xludf.DUMMYFUNCTION("""COMPUTED_VALUE"""),"ESTA RECOMENDACIÓN  ESTÁ IMPLEMENTADA EN EL PLAN DE ACCIÓN. SE REALIZO TALLER DE FORTALECIMIENTO Y APROVECHAMIENTO DE RRAA. 07/03/2022.")</f>
        <v>ESTA RECOMENDACIÓN  ESTÁ IMPLEMENTADA EN EL PLAN DE ACCIÓN. SE REALIZO TALLER DE FORTALECIMIENTO Y APROVECHAMIENTO DE RRAA. 07/03/2022.</v>
      </c>
      <c r="N77" s="11">
        <f ca="1">IFERROR(__xludf.DUMMYFUNCTION("""COMPUTED_VALUE"""),44742)</f>
        <v>44742</v>
      </c>
      <c r="O77" s="12"/>
      <c r="P77" s="10"/>
      <c r="Q77" s="11"/>
      <c r="R77" s="12"/>
      <c r="S77" s="10"/>
      <c r="T77" s="11"/>
      <c r="U77" s="10"/>
    </row>
    <row r="78" spans="1:21" ht="37.5" customHeight="1" x14ac:dyDescent="0.2">
      <c r="A78" s="10" t="str">
        <f ca="1">IFERROR(__xludf.DUMMYFUNCTION("""COMPUTED_VALUE"""),"Información y Comunicación")</f>
        <v>Información y Comunicación</v>
      </c>
      <c r="B78" s="10" t="str">
        <f ca="1">IFERROR(__xludf.DUMMYFUNCTION("""COMPUTED_VALUE"""),"Gestión de la Información Estadística")</f>
        <v>Gestión de la Información Estadística</v>
      </c>
      <c r="C78" s="10" t="str">
        <f ca="1">IFERROR(__xludf.DUMMYFUNCTION("""COMPUTED_VALUE"""),"Evaluar la calidad de los datos para el procesamiento y análisis de la información.")</f>
        <v>Evaluar la calidad de los datos para el procesamiento y análisis de la información.</v>
      </c>
      <c r="D78" s="10" t="str">
        <f ca="1">IFERROR(__xludf.DUMMYFUNCTION("""COMPUTED_VALUE"""),"Implementación programa de fortalecimiento y aprovechamiento de registros administrativos")</f>
        <v>Implementación programa de fortalecimiento y aprovechamiento de registros administrativos</v>
      </c>
      <c r="E78" s="10" t="str">
        <f ca="1">IFERROR(__xludf.DUMMYFUNCTION("""COMPUTED_VALUE"""),"Porcentaje de avance de la calida de los datos para el procesameinto y analisis de la información")</f>
        <v>Porcentaje de avance de la calida de los datos para el procesameinto y analisis de la información</v>
      </c>
      <c r="F78" s="11">
        <f ca="1">IFERROR(__xludf.DUMMYFUNCTION("""COMPUTED_VALUE"""),44941)</f>
        <v>44941</v>
      </c>
      <c r="G78" s="11">
        <f ca="1">IFERROR(__xludf.DUMMYFUNCTION("""COMPUTED_VALUE"""),45291)</f>
        <v>45291</v>
      </c>
      <c r="H78" s="10" t="str">
        <f ca="1">IFERROR(__xludf.DUMMYFUNCTION("""COMPUTED_VALUE"""),"SECRETARÍA DE PLANEACIÓN Y ENTIDADES SISTEMA ESTADÍSTICO MUNICIPAL")</f>
        <v>SECRETARÍA DE PLANEACIÓN Y ENTIDADES SISTEMA ESTADÍSTICO MUNICIPAL</v>
      </c>
      <c r="I78" s="12"/>
      <c r="J78" s="10"/>
      <c r="K78" s="11"/>
      <c r="L78" s="12">
        <f ca="1">IFERROR(__xludf.DUMMYFUNCTION("""COMPUTED_VALUE"""),0)</f>
        <v>0</v>
      </c>
      <c r="M78" s="10"/>
      <c r="N78" s="11">
        <f ca="1">IFERROR(__xludf.DUMMYFUNCTION("""COMPUTED_VALUE"""),44742)</f>
        <v>44742</v>
      </c>
      <c r="O78" s="12"/>
      <c r="P78" s="10"/>
      <c r="Q78" s="11"/>
      <c r="R78" s="12"/>
      <c r="S78" s="10"/>
      <c r="T78" s="11"/>
      <c r="U78" s="10"/>
    </row>
    <row r="79" spans="1:21" ht="37.5" customHeight="1" x14ac:dyDescent="0.2">
      <c r="A79" s="10" t="str">
        <f ca="1">IFERROR(__xludf.DUMMYFUNCTION("""COMPUTED_VALUE"""),"Gestión del Conocimiento y la Innovación")</f>
        <v>Gestión del Conocimiento y la Innovación</v>
      </c>
      <c r="B79" s="10" t="str">
        <f ca="1">IFERROR(__xludf.DUMMYFUNCTION("""COMPUTED_VALUE"""),"Gestión del Conocimiento y la Innovación")</f>
        <v>Gestión del Conocimiento y la Innovación</v>
      </c>
      <c r="C79" s="10" t="str">
        <f ca="1">IFERROR(__xludf.DUMMYFUNCTION("""COMPUTED_VALUE"""),"Identificar los riesgos relacionados con la fuga de capital intelectual de la entidad y llevar a cabo acciones para evitar la pérdida de conocimiento.")</f>
        <v>Identificar los riesgos relacionados con la fuga de capital intelectual de la entidad y llevar a cabo acciones para evitar la pérdida de conocimiento.</v>
      </c>
      <c r="D79" s="10" t="str">
        <f ca="1">IFERROR(__xludf.DUMMYFUNCTION("""COMPUTED_VALUE"""),"Estrategias que mitiguen la fuga de capital intelectual y la perdida del conocimiento")</f>
        <v>Estrategias que mitiguen la fuga de capital intelectual y la perdida del conocimiento</v>
      </c>
      <c r="E79" s="10" t="str">
        <f ca="1">IFERROR(__xludf.DUMMYFUNCTION("""COMPUTED_VALUE"""),"No. Estrategias , empleadas y calificadas /No. Estrategias aplicadas")</f>
        <v>No. Estrategias , empleadas y calificadas /No. Estrategias aplicadas</v>
      </c>
      <c r="F79" s="11">
        <f ca="1">IFERROR(__xludf.DUMMYFUNCTION("""COMPUTED_VALUE"""),44588)</f>
        <v>44588</v>
      </c>
      <c r="G79" s="11">
        <f ca="1">IFERROR(__xludf.DUMMYFUNCTION("""COMPUTED_VALUE"""),44925)</f>
        <v>44925</v>
      </c>
      <c r="H79" s="10" t="str">
        <f ca="1">IFERROR(__xludf.DUMMYFUNCTION("""COMPUTED_VALUE"""),"Dirección Administrativa de Talento Humano -Transversal con las demás Secretarias de la Entidad")</f>
        <v>Dirección Administrativa de Talento Humano -Transversal con las demás Secretarias de la Entidad</v>
      </c>
      <c r="I79" s="12">
        <f ca="1">IFERROR(__xludf.DUMMYFUNCTION("""COMPUTED_VALUE"""),0.4)</f>
        <v>0.4</v>
      </c>
      <c r="J79" s="10" t="str">
        <f ca="1">IFERROR(__xludf.DUMMYFUNCTION("""COMPUTED_VALUE"""),"Para esta vigencia 2022, en cada secreatia se hara un estudio de riegos realcionados con la fuga de capital")</f>
        <v>Para esta vigencia 2022, en cada secreatia se hara un estudio de riegos realcionados con la fuga de capital</v>
      </c>
      <c r="K79" s="11">
        <f ca="1">IFERROR(__xludf.DUMMYFUNCTION("""COMPUTED_VALUE"""),44650)</f>
        <v>44650</v>
      </c>
      <c r="L79" s="12">
        <f ca="1">IFERROR(__xludf.DUMMYFUNCTION("""COMPUTED_VALUE"""),0.4)</f>
        <v>0.4</v>
      </c>
      <c r="M79" s="10" t="str">
        <f ca="1">IFERROR(__xludf.DUMMYFUNCTION("""COMPUTED_VALUE"""),"Para esta vigencia 2022, en cada secreatia se hara un estudio de riegos relacionados con la fuga de capital ")</f>
        <v xml:space="preserve">Para esta vigencia 2022, en cada secreatia se hara un estudio de riegos relacionados con la fuga de capital </v>
      </c>
      <c r="N79" s="11">
        <f ca="1">IFERROR(__xludf.DUMMYFUNCTION("""COMPUTED_VALUE"""),44742)</f>
        <v>44742</v>
      </c>
      <c r="O79" s="12">
        <f ca="1">IFERROR(__xludf.DUMMYFUNCTION("""COMPUTED_VALUE"""),0.7)</f>
        <v>0.7</v>
      </c>
      <c r="P79" s="10" t="str">
        <f ca="1">IFERROR(__xludf.DUMMYFUNCTION("""COMPUTED_VALUE"""),"Desde la Secretaría de Tecnologías de la Información y la Comunicación, se adelantan acciones que impulsan la innovación de la Alcaldía, en el marco del Plan de Desarrollo 2020 – 2023, con los programas Más gente con acceso a TIC y TICS para la producción"&amp;" y la ciudadanía. Para el tercer trimestre de 2022 se tiene: 
1.        Servicio de acceso a internet a través de Zonas WiFi en comunas y corregimientos del Municipio de Pereira.
2.        Red de cámaras de reconocimiento facial y de placas, sistema en fu"&amp;"ncionamiento con 200 cámaras instaladas que permiten reconocimiento facial, de placas y vehículos. 
3.        App ""Gobierno de la Ciudad en Funcionamiento, disponible para ser descargada con acceso a: Consultas y pagos de obligaciones, Documentos tributa"&amp;"rios, PQRDS, Reporte de novedades viales, Redes Sociales.
4.        Automatización de Trámites y Certificados. Se tienen disponibles 48 trámites en línea en la sede electrónica:  https://www.pereira.gov.co/tramites/
5.        Herramienta Chat Bot para pro"&amp;"veer canales de comunicación que mejoren la atención a los ciudadanos.
6.        Sistemas de información para el desarrollo de procesos de la entidad: 
•        Aplicativo SIIFWEB Y Módulo Precontractual. Optimización de los procesos de gestión financiera"&amp;" y contractual, posibilitando la firma electrónica y la reducción del papel: http://siifweb.pereira.gov.co:9090/siifweb/comun/jsp/login.jsp
•        Módulo de Actos Administrativos. http://siifweb.pereira.gov.co:9090/siifweb/comun/jsp/login.jsp
•        E"&amp;"n pruebas Módulo en el aplicativo SIIFWEB, para sistematizar los procesos de las inspecciones y corregidurías. 
7.         Avances en la implementación del modelo de seguridad y privacidad de la información. se encuentra en actualización los documentos:
"&amp;"Control de procedimientos de seguridad y privacidad de la información.
Autodiagnóstico del modelo de seguridad y privacidad de la información (MSPI).
8.        Publicación de planes estratégicos en el Portal Web:
Plan de tratamiento de Riesgos de Segurida"&amp;"d Digital
Plan de Implementación del Modelo de Seguridad y Privacidad de la Información. 
https://www.pereira.gov.co/documentos/880/2022/
9.        Adquisición de laboratorios Steam para instituciones educativas
Informe de gestión Secretaría de Tecnologí"&amp;"as de la Información y la Comunicación, publicado en: https://www.pereira.gov.co/documentos/893/2022/")</f>
        <v>Desde la Secretaría de Tecnologías de la Información y la Comunicación, se adelantan acciones que impulsan la innovación de la Alcaldía, en el marco del Plan de Desarrollo 2020 – 2023, con los programas Más gente con acceso a TIC y TICS para la producción y la ciudadanía. Para el tercer trimestre de 2022 se tiene: 
1.        Servicio de acceso a internet a través de Zonas WiFi en comunas y corregimientos del Municipio de Pereira.
2.        Red de cámaras de reconocimiento facial y de placas, sistema en funcionamiento con 200 cámaras instaladas que permiten reconocimiento facial, de placas y vehículos. 
3.        App "Gobierno de la Ciudad en Funcionamiento, disponible para ser descargada con acceso a: Consultas y pagos de obligaciones, Documentos tributarios, PQRDS, Reporte de novedades viales, Redes Sociales.
4.        Automatización de Trámites y Certificados. Se tienen disponibles 48 trámites en línea en la sede electrónica:  https://www.pereira.gov.co/tramites/
5.        Herramienta Chat Bot para proveer canales de comunicación que mejoren la atención a los ciudadanos.
6.        Sistemas de información para el desarrollo de procesos de la entidad: 
•        Aplicativo SIIFWEB Y Módulo Precontractual. Optimización de los procesos de gestión financiera y contractual, posibilitando la firma electrónica y la reducción del papel: http://siifweb.pereira.gov.co:9090/siifweb/comun/jsp/login.jsp
•        Módulo de Actos Administrativos. http://siifweb.pereira.gov.co:9090/siifweb/comun/jsp/login.jsp
•        En pruebas Módulo en el aplicativo SIIFWEB, para sistematizar los procesos de las inspecciones y corregidurías. 
7.         Avances en la implementación del modelo de seguridad y privacidad de la información. se encuentra en actualización los documentos:
Control de procedimientos de seguridad y privacidad de la información.
Autodiagnóstico del modelo de seguridad y privacidad de la información (MSPI).
8.        Publicación de planes estratégicos en el Portal Web:
Plan de tratamiento de Riesgos de Seguridad Digital
Plan de Implementación del Modelo de Seguridad y Privacidad de la Información. 
https://www.pereira.gov.co/documentos/880/2022/
9.        Adquisición de laboratorios Steam para instituciones educativas
Informe de gestión Secretaría de Tecnologías de la Información y la Comunicación, publicado en: https://www.pereira.gov.co/documentos/893/2022/</v>
      </c>
      <c r="Q79" s="11">
        <f ca="1">IFERROR(__xludf.DUMMYFUNCTION("""COMPUTED_VALUE"""),44834)</f>
        <v>44834</v>
      </c>
      <c r="R79" s="12">
        <f ca="1">IFERROR(__xludf.DUMMYFUNCTION("""COMPUTED_VALUE"""),0.76)</f>
        <v>0.76</v>
      </c>
      <c r="S79" s="10" t="str">
        <f ca="1">IFERROR(__xludf.DUMMYFUNCTION("""COMPUTED_VALUE"""),"Para esta vigencia 2022, en cada secreatia se hara un estudio de riegos relacionados con la fuga de capital.
Para el corte 01 de octubre al 31 de diciembre 2022,la Secretaría Privada
26 oct 2022, Acta 1025,Reunión para revisar el Manual de Procedimientos "&amp;"y el Mapa de Riesgo correspondiente a las Solicitudes de la Comunidad.
12 dic 2022,  Acta,Reunión para identificar los riegos relacionados con la fuga de capital intelectual.------Para esta vigencia 2022, en cada secreatia se hara un estudio de riegos rel"&amp;"acionados con la fuga de capital. Desde la Secretaría de Vivienda Social, se implementa la consolidación de los informes mensuales de los contratistas, a traves de un Drive que administra cada Supervisor y/o Dirección Operativa, con el fin que los soporte"&amp;"s de todas las actividades realizadas sean de fácil acceso y sean compartidas en caso que el contratista sea cambiado. Para ingresar al link, se debe pedir autorización a los encargados. ------Desde la  oficna se han implementado estrategias dirigidas a l"&amp;"a adocpón de contoles que permitan evitar la perdidad  del conocimiento, en este sentido se han adoptado y  elaborado un par de documentos que tiene como proposito que se garantice que los contratistas entreguen la iformación documental y soportes del des"&amp;"arrollo de sus alcances en cada contrato. Los documentos se han denominado el ""paz y salvo documental"" y el "" formato de entrega documental"". Se anexa los archivos en formato digital ")</f>
        <v xml:space="preserve">Para esta vigencia 2022, en cada secreatia se hara un estudio de riegos relacionados con la fuga de capital.
Para el corte 01 de octubre al 31 de diciembre 2022,la Secretaría Privada
26 oct 2022, Acta 1025,Reunión para revisar el Manual de Procedimientos y el Mapa de Riesgo correspondiente a las Solicitudes de la Comunidad.
12 dic 2022,  Acta,Reunión para identificar los riegos relacionados con la fuga de capital intelectual.------Para esta vigencia 2022, en cada secreatia se hara un estudio de riegos relacionados con la fuga de capital. Desde la Secretaría de Vivienda Social, se implementa la consolidación de los informes mensuales de los contratistas, a traves de un Drive que administra cada Supervisor y/o Dirección Operativa, con el fin que los soportes de todas las actividades realizadas sean de fácil acceso y sean compartidas en caso que el contratista sea cambiado. Para ingresar al link, se debe pedir autorización a los encargados. ------Desde la  oficna se han implementado estrategias dirigidas a la adocpón de contoles que permitan evitar la perdidad  del conocimiento, en este sentido se han adoptado y  elaborado un par de documentos que tiene como proposito que se garantice que los contratistas entreguen la iformación documental y soportes del desarrollo de sus alcances en cada contrato. Los documentos se han denominado el "paz y salvo documental" y el " formato de entrega documental". Se anexa los archivos en formato digital </v>
      </c>
      <c r="T79" s="11"/>
      <c r="U79" s="10"/>
    </row>
    <row r="80" spans="1:21" ht="37.5" customHeight="1" x14ac:dyDescent="0.2">
      <c r="A80" s="10" t="str">
        <f ca="1">IFERROR(__xludf.DUMMYFUNCTION("""COMPUTED_VALUE"""),"Gestión del Conocimiento y la Innovación")</f>
        <v>Gestión del Conocimiento y la Innovación</v>
      </c>
      <c r="B80" s="10" t="str">
        <f ca="1">IFERROR(__xludf.DUMMYFUNCTION("""COMPUTED_VALUE"""),"Gestión del Conocimiento y la Innovación")</f>
        <v>Gestión del Conocimiento y la Innovación</v>
      </c>
      <c r="C80" s="10" t="str">
        <f ca="1">IFERROR(__xludf.DUMMYFUNCTION("""COMPUTED_VALUE"""),"Emplear, divulgar, documentar y evaluar métodos de creación e ideación para generar soluciones efectivas a problemas cotidianos de la entidad.")</f>
        <v>Emplear, divulgar, documentar y evaluar métodos de creación e ideación para generar soluciones efectivas a problemas cotidianos de la entidad.</v>
      </c>
      <c r="D80" s="10" t="str">
        <f ca="1">IFERROR(__xludf.DUMMYFUNCTION("""COMPUTED_VALUE"""),"Documentar y evaluar los métodos de creación e ideación para generar soluciones efectivas a problemas cotidianos de la entidad.")</f>
        <v>Documentar y evaluar los métodos de creación e ideación para generar soluciones efectivas a problemas cotidianos de la entidad.</v>
      </c>
      <c r="E80" s="10" t="str">
        <f ca="1">IFERROR(__xludf.DUMMYFUNCTION("""COMPUTED_VALUE"""),"No. Actividades documentadas, empleadas y divulgadas que generan soluciones efectivas")</f>
        <v>No. Actividades documentadas, empleadas y divulgadas que generan soluciones efectivas</v>
      </c>
      <c r="F80" s="11">
        <f ca="1">IFERROR(__xludf.DUMMYFUNCTION("""COMPUTED_VALUE"""),44588)</f>
        <v>44588</v>
      </c>
      <c r="G80" s="11">
        <f ca="1">IFERROR(__xludf.DUMMYFUNCTION("""COMPUTED_VALUE"""),44925)</f>
        <v>44925</v>
      </c>
      <c r="H80" s="10" t="str">
        <f ca="1">IFERROR(__xludf.DUMMYFUNCTION("""COMPUTED_VALUE"""),"Dirección Administrativa de Talento Humano -Transversal con las demás Secretarias de la Entidad")</f>
        <v>Dirección Administrativa de Talento Humano -Transversal con las demás Secretarias de la Entidad</v>
      </c>
      <c r="I80" s="12">
        <f ca="1">IFERROR(__xludf.DUMMYFUNCTION("""COMPUTED_VALUE"""),0.8)</f>
        <v>0.8</v>
      </c>
      <c r="J80" s="10" t="str">
        <f ca="1">IFERROR(__xludf.DUMMYFUNCTION("""COMPUTED_VALUE"""),"Para el corte 01 de enero  al 31 de marzo de 2022, La Secretaría Privada
*Se continua en la revisión y actualización del Instructivo estrategias de Rendición de cuentas con el fin de esquematizar y organizar el proceso de rendición de cuentas 2022 con pro"&amp;"ductos mensuales en razón al cambio del plan de trabajo por decisión de consejo de gobierno.
02 de febrero 2022 Acta de reunión # 53 Reglamentación de algunos aspectos en el proceso de Rendición De Cuentas del
municipio de Pereira.
22 de febrero 2022  Act"&amp;"a  de reunión # 149  Revisión metodología a implementar en el 2022- Rendición de Cuentas
1  de marzo de 2022   Acta  de reunión #186  Revisión del instructivo, marco legal y proceso rendición de cuentas en primera medida, en consecuencia, de la decisión d"&amp;"el Consejo de gobierno respecto de los espacios focalizados que se habían establecido en el 2021 a cargo de los Secretarios y Directores de Despacho.
15 de  marzo de 2022 Acta de reunión # 234 Depuración del documento: Instructivo Estrategia De Rendición "&amp;"De Cuentas EVIDENCIAS: https://drive.google.com/drive/folders/1oG_MTbzEs3kSsKYEobDTIFMO8a__3wbY._______________________________Para la vigencia del 01 de enero al 31 de marzo de 2022, La secretarìa de DEPORTE Y RECREACION:se encuentra en la  revision y aj"&amp;"sute del manual de procesos y procedimientos al igual que se estan hacieno el modelamiento de los ajustes que requiere el sistema de infomacion  de la secretaria.
")</f>
        <v xml:space="preserve">Para el corte 01 de enero  al 31 de marzo de 2022, La Secretaría Privada
*Se continua en la revisión y actualización del Instructivo estrategias de Rendición de cuentas con el fin de esquematizar y organizar el proceso de rendición de cuentas 2022 con productos mensuales en razón al cambio del plan de trabajo por decisión de consejo de gobierno.
02 de febrero 2022 Acta de reunión # 53 Reglamentación de algunos aspectos en el proceso de Rendición De Cuentas del
municipio de Pereira.
22 de febrero 2022  Acta  de reunión # 149  Revisión metodología a implementar en el 2022- Rendición de Cuentas
1  de marzo de 2022   Acta  de reunión #186  Revisión del instructivo, marco legal y proceso rendición de cuentas en primera medida, en consecuencia, de la decisión del Consejo de gobierno respecto de los espacios focalizados que se habían establecido en el 2021 a cargo de los Secretarios y Directores de Despacho.
15 de  marzo de 2022 Acta de reunión # 234 Depuración del documento: Instructivo Estrategia De Rendición De Cuentas EVIDENCIAS: https://drive.google.com/drive/folders/1oG_MTbzEs3kSsKYEobDTIFMO8a__3wbY._______________________________Para la vigencia del 01 de enero al 31 de marzo de 2022, La secretarìa de DEPORTE Y RECREACION:se encuentra en la  revision y ajsute del manual de procesos y procedimientos al igual que se estan hacieno el modelamiento de los ajustes que requiere el sistema de infomacion  de la secretaria.
</v>
      </c>
      <c r="K80" s="11">
        <f ca="1">IFERROR(__xludf.DUMMYFUNCTION("""COMPUTED_VALUE"""),44650)</f>
        <v>44650</v>
      </c>
      <c r="L80" s="12">
        <f ca="1">IFERROR(__xludf.DUMMYFUNCTION("""COMPUTED_VALUE"""),0.96)</f>
        <v>0.96</v>
      </c>
      <c r="M80" s="10" t="str">
        <f ca="1">IFERROR(__xludf.DUMMYFUNCTION("""COMPUTED_VALUE"""),"Para la vigencia del 01 deAbril al 30 de Junio de 2022, La Secretarìa privada,La Secretaría Privada, continua con la revisión y actualización del Instructivo estrategias de Rendición de cuentas con el fin de esquematizar y organizar el proceso de rendició"&amp;"n de cuentas 2022 con productos mensuales en razón al cambio del plan de trabajo por decisión de consejo de gobierno.
 05 de abril de 2022 Acta de Reunión # 335 Reunión con el nuevo asesor de comunicaciones de la Alcaldía Municipal de Pereira,para Articul"&amp;"ar los procesos de rendición de cuentas y del PAAC.
 07 de abril de 2022 Acta de reunión #345 Reunión con el asesor de Comunicaciones Dr Eder Quintero Rendición de Cuentas 2022 y el equipo delegado para el proceso en este despacho.
 26 de abril 2022 Acta "&amp;"de Reunión # 405 Seguimiento al procesor de caracterización de publico para la rendición de cuentas.
 26 de abril 2022 Acta de reunión #406 Componente de rendición de cuentas PAAC.
 3 de mayo de 2022 Acta de reunión # 430 Seguimiento al procesor de caract"&amp;"erización de publico para la rendición de cuentas de las diferentes secretarías.
 3 de mayo de 2022 Acta de reunión # 431 Revisión y Respuesta al SAIA 21938 para el seguimiento cuatrimestral del Plan Anticorrupción y Atención al Ciudadano 2022.
 12 de may"&amp;"o de 2022 Acta de reunión # 483 Primera revisión Cronograma de Rendición de Cuentas 2022.
 21 de junio 2022 Acta #630 Revisión avances instructivo Rendición de Cuentas.
 22 de junio 2022 Acta Reunión #635 Reunión con TICs proceso Rendición de Cuentas 2022"&amp;".
 30 de junio 2022 Acta reunión # 674 Socialización encuesta para el diseñor de Rendición de Cuentas 2022.
 Rendición de cuentas: Katherine Londoño tel3207207634 Secretaría Priva
 EVIDENCIAS: https://drive.google.com/drive/u/2/folders/1O-Gty2Atxsy502"&amp;"dBahOVw9qMAyrze7oj")</f>
        <v>Para la vigencia del 01 deAbril al 30 de Junio de 2022, La Secretarìa privada,La Secretaría Privada, continua con la revisión y actualización del Instructivo estrategias de Rendición de cuentas con el fin de esquematizar y organizar el proceso de rendición de cuentas 2022 con productos mensuales en razón al cambio del plan de trabajo por decisión de consejo de gobierno.
 05 de abril de 2022 Acta de Reunión # 335 Reunión con el nuevo asesor de comunicaciones de la Alcaldía Municipal de Pereira,para Articular los procesos de rendición de cuentas y del PAAC.
 07 de abril de 2022 Acta de reunión #345 Reunión con el asesor de Comunicaciones Dr Eder Quintero Rendición de Cuentas 2022 y el equipo delegado para el proceso en este despacho.
 26 de abril 2022 Acta de Reunión # 405 Seguimiento al procesor de caracterización de publico para la rendición de cuentas.
 26 de abril 2022 Acta de reunión #406 Componente de rendición de cuentas PAAC.
 3 de mayo de 2022 Acta de reunión # 430 Seguimiento al procesor de caracterización de publico para la rendición de cuentas de las diferentes secretarías.
 3 de mayo de 2022 Acta de reunión # 431 Revisión y Respuesta al SAIA 21938 para el seguimiento cuatrimestral del Plan Anticorrupción y Atención al Ciudadano 2022.
 12 de mayo de 2022 Acta de reunión # 483 Primera revisión Cronograma de Rendición de Cuentas 2022.
 21 de junio 2022 Acta #630 Revisión avances instructivo Rendición de Cuentas.
 22 de junio 2022 Acta Reunión #635 Reunión con TICs proceso Rendición de Cuentas 2022.
 30 de junio 2022 Acta reunión # 674 Socialización encuesta para el diseñor de Rendición de Cuentas 2022.
 Rendición de cuentas: Katherine Londoño tel3207207634 Secretaría Priva
 EVIDENCIAS: https://drive.google.com/drive/u/2/folders/1O-Gty2Atxsy502dBahOVw9qMAyrze7oj</v>
      </c>
      <c r="N80" s="11">
        <f ca="1">IFERROR(__xludf.DUMMYFUNCTION("""COMPUTED_VALUE"""),44742)</f>
        <v>44742</v>
      </c>
      <c r="O80" s="12">
        <f ca="1">IFERROR(__xludf.DUMMYFUNCTION("""COMPUTED_VALUE"""),0.98)</f>
        <v>0.98</v>
      </c>
      <c r="P80" s="10" t="str">
        <f ca="1">IFERROR(__xludf.DUMMYFUNCTION("""COMPUTED_VALUE"""),"De  acuerdo con el alcance, contenido y componentes definidos en el contrato de prestacion de servicios N. 3479 DEL 28 de enero de 2022, a continuacion se describen los principales avances, logros y resultados que caracterizan el estado de gestion y nivel"&amp;" de cumplimiento en la prestacion y ejecucion del servicio de soporte y manteniemiernto de los componentes y productos de la PLATAFORMA AIRE. que, implantados y puestos en produccion, actualmente se encuentran  en operacion y funcionamiento en la entidad,"&amp;" ademas de los servicos adicionales y complementarios de montaje, implantacion y puesta en produccion de modulos, componentes y de controles de cambio. _______________________________________________________________________________________________________"&amp;"___________________________________________________________________________________La  Direccion administrativa de Gestion de Talento Humano viene adelantando la implementacion del formato  de Trasferencia de Conocimientos  con las distintas secretarias, "&amp;"se hara la normalizacion de formato y se dara  instrucciones a los enlaces operativos de la politica de Gestion de Conocimiento para que se ponga en marcha la aplicacion del formato.
Para el corte 01 de enero  al 3o de junio de 2022, La Secretaría Privad"&amp;"a
*Se continua en la revisión y actualización del Instructivo estrategias de Rendición de cuentas con el fin de esquematizar y organizar el proceso de rendición de cuentas 2022 con productos mensuales en razón al cambio del plan de trabajo por decisión de"&amp;" consejo de gobierno.
02 de febrero 2022 Acta de reunión # 53 Reglamentación de algunos aspectos en el proceso de Rendición De Cuentas del
municipio de Pereira.
22 de febrero 2022  Acta  de reunion # 149  Revisión metodología a implementar en el 2022- Ren"&amp;"dición de Cuentas
1  de marzo de 2022   Acta  de reunión #186  Revisión del instructivo, marco legal y proceso rendición de ceuntas en primera medida, en consecuencia, de la decisión del Consejo de gobierno respecto de los espacios focalizados que se habí"&amp;"an establecido en el 2021 a cargo de los Secretarios y Directores de Despacho.
15 de  marzo de 2022 Acta de reunión # 234 Depuración del documento: Instructivo Estrategia De Rendición De Cuentas.
05 de abril de 2022 Acta de Reunión # 335 Reunión con el  n"&amp;"uevo asesor de comunicaciones de la Alcaldía Municipal de Pereira,para Articular los procesos de rendición de cuentas y del PAAC.
07 de abril de 2022 Acta de reunión #345 Reunión con el asesor de Comunicaciones Dr Eder Quintero Rendición de Cuentas 2022 y"&amp;" el equipo delegado para el proceso en este despacho.
26 de abril 2022 Acta de Reunión # 405 Seguimiento al procesor de caracterización de publico para la rendición de cuentas.
26  de abril 2022 Acta de reunión  #406 Componente de rendición de cuentas PAA"&amp;"C.
3 de mayo de 2022 Acta de reunión # 430 Seguimiento al procesor de caracterización de publico para la rendición de cuentas de las diferentes secretarías.
3 de mayo de 2022 Acta de reunión # 431 Revisión y Respuesta al SAIA 21938 para el seguimiento cua"&amp;"trimestral del Plan Anticorrupción y Atención al Ciudadano 2022.
12 de mayo de 2022 Acta de reunión # 483 Primera revisión Cronograma de Rendición de Cuentas 2022.
21 de junio 2022 Acta #630 Revisión avances instructivo Rendición de Cuentas.
22 de junio 2"&amp;"022 Acta Reunión #635 Reunión con TICs proceso Rendición de Cuentas 2022.
30 de junio 2022 Acta reunión # 674 Socialización encuesta para el diseñor de Rendición de Cuentas 2022.
02 de sept 2022  Acta reuniòn #802 conformaciòn equipo de trabajo rendiciòn "&amp;"de cuentas segundo semestre del 2022.
6 de sept 2022, Acta No. 808, Socialización Audiencia Rendición de Cuentas.
13 de sept 2022, Acta No. 848, Recepción Urnas Rendición de Cuentas 
15 de sept 2022, Acta 861, Instalación Urna Alcaldía
15 de sept 2022, Ac"&amp;"ta 863, Instalación Urna Centro Comercial Victoria
15 de sept 2022, Acta 862, Instalación Urna Lucy Tejada
15 de sept 2022, Acta 864, Instalación Urna Unicentro
15 de sept 2022, Acta 865, Instalación Urna Augusto Zuluaga Patiño
15 de sept 2022, Acta 876, "&amp;"Instalación Urna Morelia
19 de sept 2022, Acta No. 879, Revisión del Plan de Acción de Rendición de Cuentas.
Rendición de cuentas: Katherine Londoño tel3207207634 Secretaría Privada hasta junio 2022
                                     Juan Daniel Jose "&amp;"Peña Tel 3117230364 Secretarìa Privada desdpues de julio 2022
EVIDENCIAS: https://drive.google.com/drive/u/2/folders/1O-Gty2Atxsy502dBahOVw9qMAyrze7oj
")</f>
        <v xml:space="preserve">De  acuerdo con el alcance, contenido y componentes definidos en el contrato de prestacion de servicios N. 3479 DEL 28 de enero de 2022, a continuacion se describen los principales avances, logros y resultados que caracterizan el estado de gestion y nivel de cumplimiento en la prestacion y ejecucion del servicio de soporte y manteniemiernto de los componentes y productos de la PLATAFORMA AIRE. que, implantados y puestos en produccion, actualmente se encuentran  en operacion y funcionamiento en la entidad, ademas de los servicos adicionales y complementarios de montaje, implantacion y puesta en produccion de modulos, componentes y de controles de cambio. __________________________________________________________________________________________________________________________________________________________________________________________La  Direccion administrativa de Gestion de Talento Humano viene adelantando la implementacion del formato  de Trasferencia de Conocimientos  con las distintas secretarias, se hara la normalizacion de formato y se dara  instrucciones a los enlaces operativos de la politica de Gestion de Conocimiento para que se ponga en marcha la aplicacion del formato.
Para el corte 01 de enero  al 3o de junio de 2022, La Secretaría Privada
*Se continua en la revisión y actualización del Instructivo estrategias de Rendición de cuentas con el fin de esquematizar y organizar el proceso de rendición de cuentas 2022 con productos mensuales en razón al cambio del plan de trabajo por decisión de consejo de gobierno.
02 de febrero 2022 Acta de reunión # 53 Reglamentación de algunos aspectos en el proceso de Rendición De Cuentas del
municipio de Pereira.
22 de febrero 2022  Acta  de reunion # 149  Revisión metodología a implementar en el 2022- Rendición de Cuentas
1  de marzo de 2022   Acta  de reunión #186  Revisión del instructivo, marco legal y proceso rendición de ceuntas en primera medida, en consecuencia, de la decisión del Consejo de gobierno respecto de los espacios focalizados que se habían establecido en el 2021 a cargo de los Secretarios y Directores de Despacho.
15 de  marzo de 2022 Acta de reunión # 234 Depuración del documento: Instructivo Estrategia De Rendición De Cuentas.
05 de abril de 2022 Acta de Reunión # 335 Reunión con el  nuevo asesor de comunicaciones de la Alcaldía Municipal de Pereira,para Articular los procesos de rendición de cuentas y del PAAC.
07 de abril de 2022 Acta de reunión #345 Reunión con el asesor de Comunicaciones Dr Eder Quintero Rendición de Cuentas 2022 y el equipo delegado para el proceso en este despacho.
26 de abril 2022 Acta de Reunión # 405 Seguimiento al procesor de caracterización de publico para la rendición de cuentas.
26  de abril 2022 Acta de reunión  #406 Componente de rendición de cuentas PAAC.
3 de mayo de 2022 Acta de reunión # 430 Seguimiento al procesor de caracterización de publico para la rendición de cuentas de las diferentes secretarías.
3 de mayo de 2022 Acta de reunión # 431 Revisión y Respuesta al SAIA 21938 para el seguimiento cuatrimestral del Plan Anticorrupción y Atención al Ciudadano 2022.
12 de mayo de 2022 Acta de reunión # 483 Primera revisión Cronograma de Rendición de Cuentas 2022.
21 de junio 2022 Acta #630 Revisión avances instructivo Rendición de Cuentas.
22 de junio 2022 Acta Reunión #635 Reunión con TICs proceso Rendición de Cuentas 2022.
30 de junio 2022 Acta reunión # 674 Socialización encuesta para el diseñor de Rendición de Cuentas 2022.
02 de sept 2022  Acta reuniòn #802 conformaciòn equipo de trabajo rendiciòn de cuentas segundo semestre del 2022.
6 de sept 2022, Acta No. 808, Socialización Audiencia Rendición de Cuentas.
13 de sept 2022, Acta No. 848, Recepción Urnas Rendición de Cuentas 
15 de sept 2022, Acta 861, Instalación Urna Alcaldía
15 de sept 2022, Acta 863, Instalación Urna Centro Comercial Victoria
15 de sept 2022, Acta 862, Instalación Urna Lucy Tejada
15 de sept 2022, Acta 864, Instalación Urna Unicentro
15 de sept 2022, Acta 865, Instalación Urna Augusto Zuluaga Patiño
15 de sept 2022, Acta 876, Instalación Urna Morelia
19 de sept 2022, Acta No. 879, Revisión del Plan de Acción de Rendición de Cuentas.
Rendición de cuentas: Katherine Londoño tel3207207634 Secretaría Privada hasta junio 2022
                                     Juan Daniel Jose Peña Tel 3117230364 Secretarìa Privada desdpues de julio 2022
EVIDENCIAS: https://drive.google.com/drive/u/2/folders/1O-Gty2Atxsy502dBahOVw9qMAyrze7oj
</v>
      </c>
      <c r="Q80" s="11">
        <f ca="1">IFERROR(__xludf.DUMMYFUNCTION("""COMPUTED_VALUE"""),44834)</f>
        <v>44834</v>
      </c>
      <c r="R80" s="12">
        <f ca="1">IFERROR(__xludf.DUMMYFUNCTION("""COMPUTED_VALUE"""),0.99)</f>
        <v>0.99</v>
      </c>
      <c r="S80" s="10" t="str">
        <f ca="1">IFERROR(__xludf.DUMMYFUNCTION("""COMPUTED_VALUE"""),"La secretarìa de DEPORTE Y RECREACION:seactualizó el manual de procesos y procedimientos al igual que se realizaron los  ajustes del sistema de infomacion  de la secretaria.  ---.-------Para la vigencia del 01 de octubre al 31 de diciembre , la Secretaría"&amp;" Privada
1 oct 2022, Acta 944, Levantamiento de Urnas Rendición de Cuentas.
3 oct 2022, Acta 965, Apertura de cada urna para conteo y separación de preguntas.
13 de oct 2022, Acta No 6, Comite de rendición de cuentas.Redacción de artículos y montaje gener"&amp;"al del periódico de la rendición de cuentas, Entrega de invitaciones de acuerdo al listado protocolario, Conteo y redireccionamiento de las urnas, Seguimiento actividades del cronograma.
25  oct 2022, Acta No 1014 Revisión y compilación de las respuestas "&amp;"dadas por cada secretaría de las inquietudes de rendición de cuentas del municipio de Pereira.
25 oct 2022, Acta No 1018 Asesoria por parte SIG para implementar actividades en el componente de Atención al Ciudadano.
27 oct 2022, Acta No 7, Comite Rendició"&amp;"n de cuentas, Reunión consolidado respuestas por parte de las entidades, seguimiento convocatoria audiencia rendición de cuentas y preparación logistica audiencia.
2 nov 2022, Audiencia Pública de Rendición de Cuentas----En el ultimo periodo se ha venido "&amp;"empleando y  dando divulgación a la Herramienta Planes de mejoramiento que se encuentra en la plataforma SAIA y la cual fue una inicitiva que nacio desde la Oficina Asesora de Control Interno con el proposito de brindar soluciones efectivas al igual que a"&amp;"gilizar y facilitar los soportes de información referente al carque de evidecnias y seguimientos en linea de los planes de mejoramiento de las auditorias internas y las que realizan los entes de control. Lo anterior se pude evidenciar en l platafomra SAIA"&amp;" en el modulo denominado Planes de mejoramiento.
8 nov 2022, Acta 1042, Seguimiento proceso de Rendición de Cuentas.
25 nov 2022. Taller de Rendición de Cuentas Focalizado a Gremios.
02 dic 2022. Taller de Rendición de Cuentas Focalizado a Medios de Comun"&amp;"icaciones.
09 dic 2022 Taller de Rendición de Cuentas Focailzado al Consejo Territorial de Planeación y al Consejo de Juventud.
5,14,19 y 26 dic: Reuniones Rendición de Cuetas.--------Desde la Secretaría de Vivienda Social,  asiste el Secretario de Despac"&amp;"ho a las rendiciones de cuentas solicitadas por el Concejo Municipal para socializar los resultados en los diferentes procesos que se realizan. Sin embargo, para el cuarto trimestre no ha sido citado.--------En el ultimo periodo se ha venido empleando y  "&amp;"dando divulgación a la Herramienta Planes de mejoramiento que se encuentra en la plataforma SAIA y la cual fue una inicitiva que nacio desde la Oficina Asesora de Control Interno con el proposito de brindar soluciones efectivas al igual que agilizar y fac"&amp;"ilitar los soportes de información referente al carque de evidecnias y seguimientos en linea de los planes de mejoramiento de las auditorias internas y las que realizan los entes de control. Lo anterior se pude evidenciar en l platafomra SAIA en el modulo"&amp;" denominado Planes de mejoramiento.--------Desde la direccion de Planeacion estrategica e integracion regional, se implemento la herramienta Bitacora de politicas publicas, con la finalidad de unificar la helaboracion de seguimientos e informes de las pol"&amp;"iticas: https://www.pereira.gov.co/politicas_publicas/
Sistema Estadistico Municipal: https://drive.google.com/drive/folders/1Injcq_jVvGuI07sjSGM700TZAI7rHXAn?usp=sharing")</f>
        <v>La secretarìa de DEPORTE Y RECREACION:seactualizó el manual de procesos y procedimientos al igual que se realizaron los  ajustes del sistema de infomacion  de la secretaria.  ---.-------Para la vigencia del 01 de octubre al 31 de diciembre , la Secretaría Privada
1 oct 2022, Acta 944, Levantamiento de Urnas Rendición de Cuentas.
3 oct 2022, Acta 965, Apertura de cada urna para conteo y separación de preguntas.
13 de oct 2022, Acta No 6, Comite de rendición de cuentas.Redacción de artículos y montaje general del periódico de la rendición de cuentas, Entrega de invitaciones de acuerdo al listado protocolario, Conteo y redireccionamiento de las urnas, Seguimiento actividades del cronograma.
25  oct 2022, Acta No 1014 Revisión y compilación de las respuestas dadas por cada secretaría de las inquietudes de rendición de cuentas del municipio de Pereira.
25 oct 2022, Acta No 1018 Asesoria por parte SIG para implementar actividades en el componente de Atención al Ciudadano.
27 oct 2022, Acta No 7, Comite Rendición de cuentas, Reunión consolidado respuestas por parte de las entidades, seguimiento convocatoria audiencia rendición de cuentas y preparación logistica audiencia.
2 nov 2022, Audiencia Pública de Rendición de Cuentas----En el ultimo periodo se ha venido empleando y  dando divulgación a la Herramienta Planes de mejoramiento que se encuentra en la plataforma SAIA y la cual fue una inicitiva que nacio desde la Oficina Asesora de Control Interno con el proposito de brindar soluciones efectivas al igual que agilizar y facilitar los soportes de información referente al carque de evidecnias y seguimientos en linea de los planes de mejoramiento de las auditorias internas y las que realizan los entes de control. Lo anterior se pude evidenciar en l platafomra SAIA en el modulo denominado Planes de mejoramiento.
8 nov 2022, Acta 1042, Seguimiento proceso de Rendición de Cuentas.
25 nov 2022. Taller de Rendición de Cuentas Focalizado a Gremios.
02 dic 2022. Taller de Rendición de Cuentas Focalizado a Medios de Comunicaciones.
09 dic 2022 Taller de Rendición de Cuentas Focailzado al Consejo Territorial de Planeación y al Consejo de Juventud.
5,14,19 y 26 dic: Reuniones Rendición de Cuetas.--------Desde la Secretaría de Vivienda Social,  asiste el Secretario de Despacho a las rendiciones de cuentas solicitadas por el Concejo Municipal para socializar los resultados en los diferentes procesos que se realizan. Sin embargo, para el cuarto trimestre no ha sido citado.--------En el ultimo periodo se ha venido empleando y  dando divulgación a la Herramienta Planes de mejoramiento que se encuentra en la plataforma SAIA y la cual fue una inicitiva que nacio desde la Oficina Asesora de Control Interno con el proposito de brindar soluciones efectivas al igual que agilizar y facilitar los soportes de información referente al carque de evidecnias y seguimientos en linea de los planes de mejoramiento de las auditorias internas y las que realizan los entes de control. Lo anterior se pude evidenciar en l platafomra SAIA en el modulo denominado Planes de mejoramiento.--------Desde la direccion de Planeacion estrategica e integracion regional, se implemento la herramienta Bitacora de politicas publicas, con la finalidad de unificar la helaboracion de seguimientos e informes de las politicas: https://www.pereira.gov.co/politicas_publicas/
Sistema Estadistico Municipal: https://drive.google.com/drive/folders/1Injcq_jVvGuI07sjSGM700TZAI7rHXAn?usp=sharing</v>
      </c>
      <c r="T80" s="11">
        <f ca="1">IFERROR(__xludf.DUMMYFUNCTION("""COMPUTED_VALUE"""),44925)</f>
        <v>44925</v>
      </c>
      <c r="U80" s="10" t="str">
        <f ca="1">IFERROR(__xludf.DUMMYFUNCTION("""COMPUTED_VALUE""")," Pendiente el No radicado del Oficio SAIA ")</f>
        <v xml:space="preserve"> Pendiente el No radicado del Oficio SAIA </v>
      </c>
    </row>
    <row r="81" spans="1:21" ht="37.5" customHeight="1" x14ac:dyDescent="0.2">
      <c r="A81" s="10" t="str">
        <f ca="1">IFERROR(__xludf.DUMMYFUNCTION("""COMPUTED_VALUE"""),"Gestión del Conocimiento y la Innovación")</f>
        <v>Gestión del Conocimiento y la Innovación</v>
      </c>
      <c r="B81" s="10" t="str">
        <f ca="1">IFERROR(__xludf.DUMMYFUNCTION("""COMPUTED_VALUE"""),"Gestión del Conocimiento y la Innovación")</f>
        <v>Gestión del Conocimiento y la Innovación</v>
      </c>
      <c r="C81" s="10" t="str">
        <f ca="1">IFERROR(__xludf.DUMMYFUNCTION("""COMPUTED_VALUE"""),"Contar con espacios de ideación e innovación.")</f>
        <v>Contar con espacios de ideación e innovación.</v>
      </c>
      <c r="D81" s="10" t="str">
        <f ca="1">IFERROR(__xludf.DUMMYFUNCTION("""COMPUTED_VALUE"""),"Espacios disponibles, adecuados, diferenciados y divulgados para llevar a cabo los procesos de ideación e innovación.")</f>
        <v>Espacios disponibles, adecuados, diferenciados y divulgados para llevar a cabo los procesos de ideación e innovación.</v>
      </c>
      <c r="E81" s="10" t="str">
        <f ca="1">IFERROR(__xludf.DUMMYFUNCTION("""COMPUTED_VALUE"""),"No.de espacios disponibles y divulgados/No. Espacios programados")</f>
        <v>No.de espacios disponibles y divulgados/No. Espacios programados</v>
      </c>
      <c r="F81" s="11">
        <f ca="1">IFERROR(__xludf.DUMMYFUNCTION("""COMPUTED_VALUE"""),44588)</f>
        <v>44588</v>
      </c>
      <c r="G81" s="11">
        <f ca="1">IFERROR(__xludf.DUMMYFUNCTION("""COMPUTED_VALUE"""),44925)</f>
        <v>44925</v>
      </c>
      <c r="H81" s="10" t="str">
        <f ca="1">IFERROR(__xludf.DUMMYFUNCTION("""COMPUTED_VALUE"""),"Dirección Administrativa de Talento Humano -Transversal con las demás Secretarias de la Entidad")</f>
        <v>Dirección Administrativa de Talento Humano -Transversal con las demás Secretarias de la Entidad</v>
      </c>
      <c r="I81" s="12">
        <f ca="1">IFERROR(__xludf.DUMMYFUNCTION("""COMPUTED_VALUE"""),0.8)</f>
        <v>0.8</v>
      </c>
      <c r="J81" s="10" t="str">
        <f ca="1">IFERROR(__xludf.DUMMYFUNCTION("""COMPUTED_VALUE"""),"Para el corte del 01 de enero a 31 de Marzo de 2022, La Secretaría de Desarrollo Económico y Competitividad , cuenta con el Laboratorio de Innovación en el cual se desarrollan reuniones  de fortalecimiento para los emprendedores y taller de Modelo Canvas."&amp;" ( anexos laboratorio innovación)__________Para la vigencia del 01 de enero al 31 de marzo de 2022, En La secretarìa de DEPORTE Y RECREACIÓN: se han desarrollado talleresy capacitaciones para mejorar el proceso de cadena de valor publico donde se esta dan"&amp;"do mucha importancia y atención a los resultados a mediano y largo plazo de las acciones y decisiones tomadas  por la secretaria en cuanto a la prestacion de servicios.")</f>
        <v>Para el corte del 01 de enero a 31 de Marzo de 2022, La Secretaría de Desarrollo Económico y Competitividad , cuenta con el Laboratorio de Innovación en el cual se desarrollan reuniones  de fortalecimiento para los emprendedores y taller de Modelo Canvas. ( anexos laboratorio innovación)__________Para la vigencia del 01 de enero al 31 de marzo de 2022, En La secretarìa de DEPORTE Y RECREACIÓN: se han desarrollado talleresy capacitaciones para mejorar el proceso de cadena de valor publico donde se esta dando mucha importancia y atención a los resultados a mediano y largo plazo de las acciones y decisiones tomadas  por la secretaria en cuanto a la prestacion de servicios.</v>
      </c>
      <c r="K81" s="11">
        <f ca="1">IFERROR(__xludf.DUMMYFUNCTION("""COMPUTED_VALUE"""),44650)</f>
        <v>44650</v>
      </c>
      <c r="L81" s="12">
        <f ca="1">IFERROR(__xludf.DUMMYFUNCTION("""COMPUTED_VALUE"""),0.8)</f>
        <v>0.8</v>
      </c>
      <c r="M81" s="10" t="str">
        <f ca="1">IFERROR(__xludf.DUMMYFUNCTION("""COMPUTED_VALUE"""),"Para el corte del 01 de enero a 31 de Marzo de 2022, La Secretaría de Desarrollo Económico y Competitividad , cuenta con el Laboratorio de Innovación en el cual se desarrollan reuniones  de fortalecimiento para los emprendedores y taller de Modelo Canvas."&amp;" ( anexos laboratorio innovación) Para la vigencia del 01 de enero al 31 de marzo de 2022, En La secretarìa de DEPORTE Y RECREACIÓN: se han desarrollado talleresy capacitaciones para mejorar el proceso de cadena de valor publico donde se esta dando mucha "&amp;"importancia y atención a los resultados a mediano y largo plazo de las acciones y decisiones tomadas  por la secretaria en cuanto a la prestacion de servicios.")</f>
        <v>Para el corte del 01 de enero a 31 de Marzo de 2022, La Secretaría de Desarrollo Económico y Competitividad , cuenta con el Laboratorio de Innovación en el cual se desarrollan reuniones  de fortalecimiento para los emprendedores y taller de Modelo Canvas. ( anexos laboratorio innovación) Para la vigencia del 01 de enero al 31 de marzo de 2022, En La secretarìa de DEPORTE Y RECREACIÓN: se han desarrollado talleresy capacitaciones para mejorar el proceso de cadena de valor publico donde se esta dando mucha importancia y atención a los resultados a mediano y largo plazo de las acciones y decisiones tomadas  por la secretaria en cuanto a la prestacion de servicios.</v>
      </c>
      <c r="N81" s="11">
        <f ca="1">IFERROR(__xludf.DUMMYFUNCTION("""COMPUTED_VALUE"""),44742)</f>
        <v>44742</v>
      </c>
      <c r="O81" s="12">
        <f ca="1">IFERROR(__xludf.DUMMYFUNCTION("""COMPUTED_VALUE"""),0.8)</f>
        <v>0.8</v>
      </c>
      <c r="P81" s="10" t="str">
        <f ca="1">IFERROR(__xludf.DUMMYFUNCTION("""COMPUTED_VALUE"""),"Este tercer trimestre no hubo avance, este porcentaje de avance reflejado corresponde a segundo seguimiento de 2022")</f>
        <v>Este tercer trimestre no hubo avance, este porcentaje de avance reflejado corresponde a segundo seguimiento de 2022</v>
      </c>
      <c r="Q81" s="11">
        <f ca="1">IFERROR(__xludf.DUMMYFUNCTION("""COMPUTED_VALUE"""),44834)</f>
        <v>44834</v>
      </c>
      <c r="R81" s="12"/>
      <c r="S81" s="10" t="str">
        <f ca="1">IFERROR(__xludf.DUMMYFUNCTION("""COMPUTED_VALUE"""),"En La secretarìa de DEPORTE Y RECREACIÓN: se han desarrollado talleres y capacitaciones para mejorar el proceso de cadena de valor publico donde se esta dando mucha importancia y atención a los resultados a mediano y largo plazo de las acciones y decision"&amp;"es tomadas  por la secretaria en cuanto a la prestacion de servicios. Igualmente con la construcción de laestrategia OFERTA DEMANDA que se implementó desde el inicio de año se llevo a las comunidades la oferta de la secretaria y el proceso de inscripción,"&amp;" posteriorme a esto se han implementado actiivdades solicitadas por la comunidad donde se ha observado una mayor adherencia de estos. Evidencias   https://drive.google.com/drive/folders/1Au1oE06CGwTQvascWbUnxsNuLE8QSVhX
https://docs.google.com/spreadsheet"&amp;"s/d/1Kb7w4zUnrT-P4huVFWTr5SbcXpXt8EDZjsDYPc7GNDM/edit#gid=1949330320")</f>
        <v>En La secretarìa de DEPORTE Y RECREACIÓN: se han desarrollado talleres y capacitaciones para mejorar el proceso de cadena de valor publico donde se esta dando mucha importancia y atención a los resultados a mediano y largo plazo de las acciones y decisiones tomadas  por la secretaria en cuanto a la prestacion de servicios. Igualmente con la construcción de laestrategia OFERTA DEMANDA que se implementó desde el inicio de año se llevo a las comunidades la oferta de la secretaria y el proceso de inscripción, posteriorme a esto se han implementado actiivdades solicitadas por la comunidad donde se ha observado una mayor adherencia de estos. Evidencias   https://drive.google.com/drive/folders/1Au1oE06CGwTQvascWbUnxsNuLE8QSVhX
https://docs.google.com/spreadsheets/d/1Kb7w4zUnrT-P4huVFWTr5SbcXpXt8EDZjsDYPc7GNDM/edit#gid=1949330320</v>
      </c>
      <c r="T81" s="11">
        <f ca="1">IFERROR(__xludf.DUMMYFUNCTION("""COMPUTED_VALUE"""),44926)</f>
        <v>44926</v>
      </c>
      <c r="U81" s="10"/>
    </row>
    <row r="82" spans="1:21" ht="37.5" customHeight="1" x14ac:dyDescent="0.2">
      <c r="A82" s="10" t="str">
        <f ca="1">IFERROR(__xludf.DUMMYFUNCTION("""COMPUTED_VALUE"""),"Gestión del Conocimiento y la Innovación")</f>
        <v>Gestión del Conocimiento y la Innovación</v>
      </c>
      <c r="B82" s="10" t="str">
        <f ca="1">IFERROR(__xludf.DUMMYFUNCTION("""COMPUTED_VALUE"""),"Gestión del Conocimiento y la Innovación")</f>
        <v>Gestión del Conocimiento y la Innovación</v>
      </c>
      <c r="C82" s="10" t="str">
        <f ca="1">IFERROR(__xludf.DUMMYFUNCTION("""COMPUTED_VALUE"""),"Evaluar los resultados de los procesos de ideación adelantados en la entidad y analizar los resultados.")</f>
        <v>Evaluar los resultados de los procesos de ideación adelantados en la entidad y analizar los resultados.</v>
      </c>
      <c r="D82" s="10" t="str">
        <f ca="1">IFERROR(__xludf.DUMMYFUNCTION("""COMPUTED_VALUE"""),"Evaluación de los procesos de ideación de la entidad")</f>
        <v>Evaluación de los procesos de ideación de la entidad</v>
      </c>
      <c r="E82" s="10" t="str">
        <f ca="1">IFERROR(__xludf.DUMMYFUNCTION("""COMPUTED_VALUE"""),"No. Procesos de ideación de la entidad evaluados / No procesos de ideación de la entidad creados")</f>
        <v>No. Procesos de ideación de la entidad evaluados / No procesos de ideación de la entidad creados</v>
      </c>
      <c r="F82" s="11">
        <f ca="1">IFERROR(__xludf.DUMMYFUNCTION("""COMPUTED_VALUE"""),44588)</f>
        <v>44588</v>
      </c>
      <c r="G82" s="11">
        <f ca="1">IFERROR(__xludf.DUMMYFUNCTION("""COMPUTED_VALUE"""),44925)</f>
        <v>44925</v>
      </c>
      <c r="H82" s="10" t="str">
        <f ca="1">IFERROR(__xludf.DUMMYFUNCTION("""COMPUTED_VALUE"""),"Dirección Administrativa de Talento Humano -Transversal con las demás Secretarias de la Entidad")</f>
        <v>Dirección Administrativa de Talento Humano -Transversal con las demás Secretarias de la Entidad</v>
      </c>
      <c r="I82" s="12">
        <f ca="1">IFERROR(__xludf.DUMMYFUNCTION("""COMPUTED_VALUE"""),0.65)</f>
        <v>0.65</v>
      </c>
      <c r="J82" s="10" t="str">
        <f ca="1">IFERROR(__xludf.DUMMYFUNCTION("""COMPUTED_VALUE"""),"Para la vigencia 2022,  Las acciones desarrolladas desde las diferentes  Secretarías  están enmarcadas en el Plan de Desarrollo 2020 – 2023 y el cumplimiento de los programas.______________________Para la vigencia del 01 de enero al 31 de marzo de 2022, E"&amp;"n La secretarìa de DEPORTE Y RECREACIÓN: Se han realizado los ajustes a la metodologia e instrumentos para la evaluación de las metas de producto  del plan de desarrollo, con el fin d edeterminar la efectividad de las actividades y estrategias desarrollad"&amp;"as en el 2021.")</f>
        <v>Para la vigencia 2022,  Las acciones desarrolladas desde las diferentes  Secretarías  están enmarcadas en el Plan de Desarrollo 2020 – 2023 y el cumplimiento de los programas.______________________Para la vigencia del 01 de enero al 31 de marzo de 2022, En La secretarìa de DEPORTE Y RECREACIÓN: Se han realizado los ajustes a la metodologia e instrumentos para la evaluación de las metas de producto  del plan de desarrollo, con el fin d edeterminar la efectividad de las actividades y estrategias desarrolladas en el 2021.</v>
      </c>
      <c r="K82" s="11">
        <f ca="1">IFERROR(__xludf.DUMMYFUNCTION("""COMPUTED_VALUE"""),44650)</f>
        <v>44650</v>
      </c>
      <c r="L82" s="12">
        <f ca="1">IFERROR(__xludf.DUMMYFUNCTION("""COMPUTED_VALUE"""),0.67)</f>
        <v>0.67</v>
      </c>
      <c r="M82" s="10" t="str">
        <f ca="1">IFERROR(__xludf.DUMMYFUNCTION("""COMPUTED_VALUE"""),"Para la Vigencia del 01 de Abril al 30 de Junio, Las acciones desarrolladas desde la Secretaría de Tecnologías de la Información y la Comunicación, están enmarcados en el Plan de Desarrollo 2020 – 2023 y el cumplimiento de los programas Más gente con acce"&amp;"so a TIC y TICS para la producción y la ciudadanía. El avance a las actividades realizadas se presenta trimestralmente en el seguimiento a los Planes de Acción y anualmente, en la evaluación al Plan de Desarrollo.")</f>
        <v>Para la Vigencia del 01 de Abril al 30 de Junio, Las acciones desarrolladas desde la Secretaría de Tecnologías de la Información y la Comunicación, están enmarcados en el Plan de Desarrollo 2020 – 2023 y el cumplimiento de los programas Más gente con acceso a TIC y TICS para la producción y la ciudadanía. El avance a las actividades realizadas se presenta trimestralmente en el seguimiento a los Planes de Acción y anualmente, en la evaluación al Plan de Desarrollo.</v>
      </c>
      <c r="N82" s="11">
        <f ca="1">IFERROR(__xludf.DUMMYFUNCTION("""COMPUTED_VALUE"""),44742)</f>
        <v>44742</v>
      </c>
      <c r="O82" s="12">
        <f ca="1">IFERROR(__xludf.DUMMYFUNCTION("""COMPUTED_VALUE"""),0.78)</f>
        <v>0.78</v>
      </c>
      <c r="P82" s="10" t="str">
        <f ca="1">IFERROR(__xludf.DUMMYFUNCTION("""COMPUTED_VALUE"""),"Las acciones desarrolladas desde la Secretaría de Tecnologías de la Información y la Comunicación, están enmarcados en el Plan de Desarrollo 2020 – 2023 y el cumplimiento de los programas Más gente con acceso a TIC y TICS para la producción y la ciudadaní"&amp;"a. El avance a las actividades realizadas se presenta trimestralmente en el seguimiento a los Planes de Acción y anualmente, en la evaluación al Plan de Desarrollo.
Informe de gestión Secretaría de Tecnologías de la Información y la Comunicación, publicad"&amp;"o en: https://www.pereira.gov.co/documentos/893/2022/
Seguimientos Planes de acción: https://www.pereira.gov.co/documentos/1027/2022/
Evaluación Plan de Desarrollo: https://www.pereira.gov.co/documentos/587/evaluacion-plan-de-desarrollo/.")</f>
        <v>Las acciones desarrolladas desde la Secretaría de Tecnologías de la Información y la Comunicación, están enmarcados en el Plan de Desarrollo 2020 – 2023 y el cumplimiento de los programas Más gente con acceso a TIC y TICS para la producción y la ciudadanía. El avance a las actividades realizadas se presenta trimestralmente en el seguimiento a los Planes de Acción y anualmente, en la evaluación al Plan de Desarrollo.
Informe de gestión Secretaría de Tecnologías de la Información y la Comunicación, publicado en: https://www.pereira.gov.co/documentos/893/2022/
Seguimientos Planes de acción: https://www.pereira.gov.co/documentos/1027/2022/
Evaluación Plan de Desarrollo: https://www.pereira.gov.co/documentos/587/evaluacion-plan-de-desarrollo/.</v>
      </c>
      <c r="Q82" s="11">
        <f ca="1">IFERROR(__xludf.DUMMYFUNCTION("""COMPUTED_VALUE"""),44834)</f>
        <v>44834</v>
      </c>
      <c r="R82" s="12">
        <f ca="1">IFERROR(__xludf.DUMMYFUNCTION("""COMPUTED_VALUE"""),0.78)</f>
        <v>0.78</v>
      </c>
      <c r="S82" s="10" t="str">
        <f ca="1">IFERROR(__xludf.DUMMYFUNCTION("""COMPUTED_VALUE"""),"La Secretaria de desarrollo social viene adelantando la estanadarizacion de un formato de encuentas de satisfaccion al cliente  para evaluar la atención  realizada diariamente en cada uno de los programas sociales, proyectado para la vigencia 2023.")</f>
        <v>La Secretaria de desarrollo social viene adelantando la estanadarizacion de un formato de encuentas de satisfaccion al cliente  para evaluar la atención  realizada diariamente en cada uno de los programas sociales, proyectado para la vigencia 2023.</v>
      </c>
      <c r="T82" s="11">
        <f ca="1">IFERROR(__xludf.DUMMYFUNCTION("""COMPUTED_VALUE"""),44925)</f>
        <v>44925</v>
      </c>
      <c r="U82" s="10"/>
    </row>
    <row r="83" spans="1:21" ht="37.5" customHeight="1" x14ac:dyDescent="0.2">
      <c r="A83" s="10" t="str">
        <f ca="1">IFERROR(__xludf.DUMMYFUNCTION("""COMPUTED_VALUE"""),"Gestión del Conocimiento y la Innovación")</f>
        <v>Gestión del Conocimiento y la Innovación</v>
      </c>
      <c r="B83" s="10" t="str">
        <f ca="1">IFERROR(__xludf.DUMMYFUNCTION("""COMPUTED_VALUE"""),"Gestión del Conocimiento y la Innovación")</f>
        <v>Gestión del Conocimiento y la Innovación</v>
      </c>
      <c r="C83" s="10" t="str">
        <f ca="1">IFERROR(__xludf.DUMMYFUNCTION("""COMPUTED_VALUE"""),"Desarrollar pruebas de experimentación, documentar, analizar y tomar decisiones sobre los resultados.")</f>
        <v>Desarrollar pruebas de experimentación, documentar, analizar y tomar decisiones sobre los resultados.</v>
      </c>
      <c r="D83" s="10" t="str">
        <f ca="1">IFERROR(__xludf.DUMMYFUNCTION("""COMPUTED_VALUE"""),"Documentación de los resultados de las pruebas de experimentación y toma decisiones sobre los resultados.")</f>
        <v>Documentación de los resultados de las pruebas de experimentación y toma decisiones sobre los resultados.</v>
      </c>
      <c r="E83" s="10" t="str">
        <f ca="1">IFERROR(__xludf.DUMMYFUNCTION("""COMPUTED_VALUE"""),"No. Pruebas de experimentación aplicadas, documentadas y evaluadas/ No. Pruebas de experimentación propuestas")</f>
        <v>No. Pruebas de experimentación aplicadas, documentadas y evaluadas/ No. Pruebas de experimentación propuestas</v>
      </c>
      <c r="F83" s="11">
        <f ca="1">IFERROR(__xludf.DUMMYFUNCTION("""COMPUTED_VALUE"""),44588)</f>
        <v>44588</v>
      </c>
      <c r="G83" s="11">
        <f ca="1">IFERROR(__xludf.DUMMYFUNCTION("""COMPUTED_VALUE"""),44925)</f>
        <v>44925</v>
      </c>
      <c r="H83" s="10" t="str">
        <f ca="1">IFERROR(__xludf.DUMMYFUNCTION("""COMPUTED_VALUE"""),"Dirección Administrativa de Talento Humano -Transversal con las demás Secretarias de la Entidad")</f>
        <v>Dirección Administrativa de Talento Humano -Transversal con las demás Secretarias de la Entidad</v>
      </c>
      <c r="I83" s="12">
        <f ca="1">IFERROR(__xludf.DUMMYFUNCTION("""COMPUTED_VALUE"""),0.5)</f>
        <v>0.5</v>
      </c>
      <c r="J83" s="10" t="str">
        <f ca="1">IFERROR(__xludf.DUMMYFUNCTION("""COMPUTED_VALUE"""),"Para la vigencia 2022. Se realizaran  mesa de trabajo, para definir el   proceso de Compartir y Difundir la información relevante de la entidad, la secreria de  las TIC, propone  la incorporación del aplicativo MIN como herramienta para almacenar los docu"&amp;"mentos generados en cada secretaría , a su vez gestión documental estará pendiente de  definir  en conjunto si es viable realizar el proceso por este aplicativo __________________________Para la vigencia del 01 de enero al 31 de marzo de 2022, En La secre"&amp;"tarìa de DEPORTE Y RECREACIÓN: se realizaron los talleres para ajustar las pruebas de efectividad que nos permiten determinar si los proyectos y estrategias implementadas si han dado los resultados planteados, de lo contrario realizar los ajustes metodolo"&amp;"gicos o de contenidos en el servicio prestado, se espera que para junio se tengan los primeros resultados junto con su analisis y planes de mejoramiento.
En el momento se estan desarrollando las pruebas y actividades planeadas para este año, una vez se de"&amp;"termine su efectividad a traves de test y pruebas desarrolladas por la UTP, se realizaran los ajustes y planes de mejoramiento.")</f>
        <v>Para la vigencia 2022. Se realizaran  mesa de trabajo, para definir el   proceso de Compartir y Difundir la información relevante de la entidad, la secreria de  las TIC, propone  la incorporación del aplicativo MIN como herramienta para almacenar los documentos generados en cada secretaría , a su vez gestión documental estará pendiente de  definir  en conjunto si es viable realizar el proceso por este aplicativo __________________________Para la vigencia del 01 de enero al 31 de marzo de 2022, En La secretarìa de DEPORTE Y RECREACIÓN: se realizaron los talleres para ajustar las pruebas de efectividad que nos permiten determinar si los proyectos y estrategias implementadas si han dado los resultados planteados, de lo contrario realizar los ajustes metodologicos o de contenidos en el servicio prestado, se espera que para junio se tengan los primeros resultados junto con su analisis y planes de mejoramiento.
En el momento se estan desarrollando las pruebas y actividades planeadas para este año, una vez se determine su efectividad a traves de test y pruebas desarrolladas por la UTP, se realizaran los ajustes y planes de mejoramiento.</v>
      </c>
      <c r="K83" s="11">
        <f ca="1">IFERROR(__xludf.DUMMYFUNCTION("""COMPUTED_VALUE"""),44650)</f>
        <v>44650</v>
      </c>
      <c r="L83" s="12">
        <f ca="1">IFERROR(__xludf.DUMMYFUNCTION("""COMPUTED_VALUE"""),0.5)</f>
        <v>0.5</v>
      </c>
      <c r="M83" s="10" t="str">
        <f ca="1">IFERROR(__xludf.DUMMYFUNCTION("""COMPUTED_VALUE"""),"Para la vigencia 2022. Se realizaran  mesa de trabajo, para definir el   proceso de Compartir y Difundir la información relevante de la entidad, la secreria de  las TIC, propone  la incorporación del aplicativo MIN como herramienta para almacenar los docu"&amp;"mentos generados en cada secretaría , a su vez gestión documental estará pendiente de  definir  en conjunto si es viable realizar el proceso por este aplicativo __________________________Para la vigencia del 01 de enero al 31 de marzo de 2022, En La secre"&amp;"tarìa de DEPORTE Y RECREACIÓN: se realizaron los talleres para ajustar las pruebas de efectividad que nos permiten determinar si los proyectos y estrategias implementadas si han dado los resultados planteados, de lo contrario realizar los ajustes metodolo"&amp;"gicos o de contenidos en el servicio prestado, se espera que para junio se tengan los primeros resultados junto con su analisis y planes de mejoramiento. En el momento se estan desarrollando las pruebas y actividades planeadas para este año, una vez se de"&amp;"termine su efectividad a traves de test y pruebas desarrolladas por la UTP, se realizaran los ajustes y planes de mejoramiento.")</f>
        <v>Para la vigencia 2022. Se realizaran  mesa de trabajo, para definir el   proceso de Compartir y Difundir la información relevante de la entidad, la secreria de  las TIC, propone  la incorporación del aplicativo MIN como herramienta para almacenar los documentos generados en cada secretaría , a su vez gestión documental estará pendiente de  definir  en conjunto si es viable realizar el proceso por este aplicativo __________________________Para la vigencia del 01 de enero al 31 de marzo de 2022, En La secretarìa de DEPORTE Y RECREACIÓN: se realizaron los talleres para ajustar las pruebas de efectividad que nos permiten determinar si los proyectos y estrategias implementadas si han dado los resultados planteados, de lo contrario realizar los ajustes metodologicos o de contenidos en el servicio prestado, se espera que para junio se tengan los primeros resultados junto con su analisis y planes de mejoramiento. En el momento se estan desarrollando las pruebas y actividades planeadas para este año, una vez se determine su efectividad a traves de test y pruebas desarrolladas por la UTP, se realizaran los ajustes y planes de mejoramiento.</v>
      </c>
      <c r="N83" s="11">
        <f ca="1">IFERROR(__xludf.DUMMYFUNCTION("""COMPUTED_VALUE"""),44742)</f>
        <v>44742</v>
      </c>
      <c r="O83" s="12">
        <f ca="1">IFERROR(__xludf.DUMMYFUNCTION("""COMPUTED_VALUE"""),0.5)</f>
        <v>0.5</v>
      </c>
      <c r="P83" s="10" t="str">
        <f ca="1">IFERROR(__xludf.DUMMYFUNCTION("""COMPUTED_VALUE"""),"Este tercer  trimestre no hubo avance, este porcentaje de avance reflejado corresponde al segundo seguimiento")</f>
        <v>Este tercer  trimestre no hubo avance, este porcentaje de avance reflejado corresponde al segundo seguimiento</v>
      </c>
      <c r="Q83" s="11">
        <f ca="1">IFERROR(__xludf.DUMMYFUNCTION("""COMPUTED_VALUE"""),44834)</f>
        <v>44834</v>
      </c>
      <c r="R83" s="12">
        <f ca="1">IFERROR(__xludf.DUMMYFUNCTION("""COMPUTED_VALUE"""),0.83)</f>
        <v>0.83</v>
      </c>
      <c r="S83" s="10" t="str">
        <f ca="1">IFERROR(__xludf.DUMMYFUNCTION("""COMPUTED_VALUE"""),"Durante el año 2022 se aplicaronlso mecanismos para la calidad del servicio  para determinar la ADHERENCIA, EFECTIVIDAD Y FIDELIZACION,  en cada uno de lso programas en  los cuales, al ver slos resultados se aplicaron los criterios técnicos propuestos, lo"&amp;" cual mejoro la fidelización, la adherencia,  disminuyo la rotación y  la participación en los diferentes programas.  en cuato a la infraestrucura deportiva, han sido evaluados los diferentes proyectos formulados e inscritos ante el ministerio, bajo sus  "&amp;"herramientas  y los entes de control, ademas de coorporaciones como el concejo municipal y la asamblea departamental.
Las pruebas de  experimentación que se realizaron en los diferentes programa,  aplicando los  documento técnico  lo cual trajo beneficios"&amp;" que se evidencian en desde el primer semestre. En los prograas se llevan a cabo pruebas de EFECTIVIDAD  las cuales mediante los resultados obtenidos se realizan mejoras en los planes técnico pedagógico con el fin de fortalecer los programas lo conlleva a"&amp;" realizar una mejor prestación del servicio a la comunidad. Evidencias   https://drive.google.com/drive/folders/1oqLfXbI2zh68M67l3mwo4ChazAdeYEU5
https://drive.google.com/drive/folders/16sWubILSpFpb_5cmb83H78AgSC4gnz1d")</f>
        <v>Durante el año 2022 se aplicaronlso mecanismos para la calidad del servicio  para determinar la ADHERENCIA, EFECTIVIDAD Y FIDELIZACION,  en cada uno de lso programas en  los cuales, al ver slos resultados se aplicaron los criterios técnicos propuestos, lo cual mejoro la fidelización, la adherencia,  disminuyo la rotación y  la participación en los diferentes programas.  en cuato a la infraestrucura deportiva, han sido evaluados los diferentes proyectos formulados e inscritos ante el ministerio, bajo sus  herramientas  y los entes de control, ademas de coorporaciones como el concejo municipal y la asamblea departamental.
Las pruebas de  experimentación que se realizaron en los diferentes programa,  aplicando los  documento técnico  lo cual trajo beneficios que se evidencian en desde el primer semestre. En los prograas se llevan a cabo pruebas de EFECTIVIDAD  las cuales mediante los resultados obtenidos se realizan mejoras en los planes técnico pedagógico con el fin de fortalecer los programas lo conlleva a realizar una mejor prestación del servicio a la comunidad. Evidencias   https://drive.google.com/drive/folders/1oqLfXbI2zh68M67l3mwo4ChazAdeYEU5
https://drive.google.com/drive/folders/16sWubILSpFpb_5cmb83H78AgSC4gnz1d</v>
      </c>
      <c r="T83" s="11">
        <f ca="1">IFERROR(__xludf.DUMMYFUNCTION("""COMPUTED_VALUE"""),44925)</f>
        <v>44925</v>
      </c>
      <c r="U83" s="10"/>
    </row>
    <row r="84" spans="1:21" ht="37.5" customHeight="1" x14ac:dyDescent="0.2">
      <c r="A84" s="10" t="str">
        <f ca="1">IFERROR(__xludf.DUMMYFUNCTION("""COMPUTED_VALUE"""),"Gestión del Conocimiento y la Innovación")</f>
        <v>Gestión del Conocimiento y la Innovación</v>
      </c>
      <c r="B84" s="10" t="str">
        <f ca="1">IFERROR(__xludf.DUMMYFUNCTION("""COMPUTED_VALUE"""),"Gestión del Conocimiento y la Innovación")</f>
        <v>Gestión del Conocimiento y la Innovación</v>
      </c>
      <c r="C84" s="10" t="str">
        <f ca="1">IFERROR(__xludf.DUMMYFUNCTION("""COMPUTED_VALUE"""),"Implementar una estrategia de cultura organizacional orientada a la gestión del conocimiento y la innovación en la entidad y analizar sus resultados.")</f>
        <v>Implementar una estrategia de cultura organizacional orientada a la gestión del conocimiento y la innovación en la entidad y analizar sus resultados.</v>
      </c>
      <c r="D84" s="10" t="str">
        <f ca="1">IFERROR(__xludf.DUMMYFUNCTION("""COMPUTED_VALUE"""),"Implementación de estrategias de cultura organizacional relacionada a la gestión del conocimiento y la innovación")</f>
        <v>Implementación de estrategias de cultura organizacional relacionada a la gestión del conocimiento y la innovación</v>
      </c>
      <c r="E84" s="10" t="str">
        <f ca="1">IFERROR(__xludf.DUMMYFUNCTION("""COMPUTED_VALUE"""),"No. Estrategias de cultura organizacional implementada y evaluada /No. Estrategias de cultura organizacional propuesta")</f>
        <v>No. Estrategias de cultura organizacional implementada y evaluada /No. Estrategias de cultura organizacional propuesta</v>
      </c>
      <c r="F84" s="11">
        <f ca="1">IFERROR(__xludf.DUMMYFUNCTION("""COMPUTED_VALUE"""),44588)</f>
        <v>44588</v>
      </c>
      <c r="G84" s="11">
        <f ca="1">IFERROR(__xludf.DUMMYFUNCTION("""COMPUTED_VALUE"""),44925)</f>
        <v>44925</v>
      </c>
      <c r="H84" s="10" t="str">
        <f ca="1">IFERROR(__xludf.DUMMYFUNCTION("""COMPUTED_VALUE"""),"Dirección Administrativa de Talento Humano -Transversal con las demás Secretarias de la Entidad")</f>
        <v>Dirección Administrativa de Talento Humano -Transversal con las demás Secretarias de la Entidad</v>
      </c>
      <c r="I84" s="12">
        <f ca="1">IFERROR(__xludf.DUMMYFUNCTION("""COMPUTED_VALUE"""),0.75)</f>
        <v>0.75</v>
      </c>
      <c r="J84" s="10" t="str">
        <f ca="1">IFERROR(__xludf.DUMMYFUNCTION("""COMPUTED_VALUE"""),"Para el corte del 01 de enero al 31  marzo de 2022, La Secretaría Privada, Como líderes de la Política de Participación Ciudadana continua con la estrategia de un profesional en cada secretaría enfocado en la participación ciudadana con el propósito de ma"&amp;"terializar en los indicadores el contacto con la comunidad y la gestión del municipio; adicional a ello en los retos asignados por el señor Alcalde a la Secretaría Privada sobre FIC y Presupuesto Participativo se  cuenta  con un grupo jurídico técnico, qu"&amp;"e apoya el proceso con el propósito de sanear gestiones anteriores. Se realizan reuniones periodicas donde se evalúa y revisan los resultados de los procesos.
En la presente vigencia nos encontramos trabajando desde el principio para la audiencia de rendi"&amp;"ción de cuentas con el firme propósito de cumplir con todas las proposiciones del DAFP y así construir una audiencia con todo los pormenores de la vigencia actual. 
Se está cumpliendo con la Política de Transparencia en la publicación de la información.
C"&amp;"ada contratista o funcionario tiene el perfil y el conocimiento idóneo para el cargo asignado.
Estrategias construcción de indicadores, formatos para recopilar la información digitalizados Excel y virtual, solicitudes de la comunidad.
Rendición de cuenta"&amp;"s: Katherine Londoño tel3207207634 Secretaría Privada
FIC :  Diana Muñoz Tel  3153776336 Secretaría Privada
Presupuesto Participativo: Fabián Valderrama Tel 3204427091 Secretaría Privada
Atención a la comunidad: Francy  Salazar Tel 3117821426 Secretaría P"&amp;"rivada
Salón del ciudadano Lincòn Mora  Tel 3159288388 Secretaría Privada
Mesa  de la  Legalidad  :JuanAntonio Mejia  Tel  3116101185 Secretaria Privada
Archivo: Linda Fernada Sanchez tel  3104453067.
 Cronograma de actividades de participación ciudadana"&amp;" y rendición de cuentas Actualizado
9 de febrero 2022 Acta de reunión #95  Capcitación introductoria del 2022,  con contratistas y funcionarios de la secretaría Privada, para tratar temas de organigrama de la oficina, contratación, cierre financiero, info"&amp;"rmes SECOP II y SIA Observa y Repositorio.
09 de marzo 2022  asesoría sobre el correcto diligenciamiento del formato inventario documental. Linda Fda Sanchez tel  3104453067
10 de marzo 2022 Capacitación Política Participación ciudadana en la gestión Públ"&amp;"ica.
11 de marzo Capacitación Higiene Postural.
15 de marzo 2022 Acta #230 Capacitación Formatos Participación Ciudadana
EVIDENCIA: https://drive.google.com/drive/folders/1SgB9zRI8OOMcXxLnIR7U0zrzvI7cLbRb __________________________________Para la vigenci"&amp;"a del o1 de enero al 31 de marzo de 2022 , La Secretarìa de DEPORTE Y RECRACION: en los contratos de profesionales y de Especializados se han implementado alcances y metas de gestion del conocimeinto lo cual busque tanto la producción del conocimiento con"&amp;" su divulgacion para lograr la  retroalimentacion y ajuste respectivo")</f>
        <v>Para el corte del 01 de enero al 31  marzo de 2022, La Secretaría Privada, Como líderes de la Política de Participación Ciudadana continua con la estrategia de un profesional en cada secretaría enfocado en la participación ciudadana con el propósito de materializar en los indicadores el contacto con la comunidad y la gestión del municipio; adicional a ello en los retos asignados por el señor Alcalde a la Secretaría Privada sobre FIC y Presupuesto Participativo se  cuenta  con un grupo jurídico técnico, que apoya el proceso con el propósito de sanear gestiones anteriores. Se realizan reuniones periodicas donde se evalúa y revisan los resultados de los procesos.
En la presente vigencia nos encontramos trabajando desde el principio para la audiencia de rendición de cuentas con el firme propósito de cumplir con todas las proposiciones del DAFP y así construir una audiencia con todo los pormenores de la vigencia actual. 
Se está cumpliendo con la Política de Transparencia en la publicación de la información.
Cada contratista o funcionario tiene el perfil y el conocimiento idóneo para el cargo asignado.
Estrategias construcción de indicadores, formatos para recopilar la información digitalizados Excel y virtual, solicitudes de la comunidad.
Rendición de cuentas: Katherine Londoño tel3207207634 Secretaría Privada
FIC :  Diana Muñoz Tel  3153776336 Secretaría Privada
Presupuesto Participativo: Fabián Valderrama Tel 3204427091 Secretaría Privada
Atención a la comunidad: Francy  Salazar Tel 3117821426 Secretaría Privada
Salón del ciudadano Lincòn Mora  Tel 3159288388 Secretaría Privada
Mesa  de la  Legalidad  :JuanAntonio Mejia  Tel  3116101185 Secretaria Privada
Archivo: Linda Fernada Sanchez tel  3104453067.
 Cronograma de actividades de participación ciudadana y rendición de cuentas Actualizado
9 de febrero 2022 Acta de reunión #95  Capcitación introductoria del 2022,  con contratistas y funcionarios de la secretaría Privada, para tratar temas de organigrama de la oficina, contratación, cierre financiero, informes SECOP II y SIA Observa y Repositorio.
09 de marzo 2022  asesoría sobre el correcto diligenciamiento del formato inventario documental. Linda Fda Sanchez tel  3104453067
10 de marzo 2022 Capacitación Política Participación ciudadana en la gestión Pública.
11 de marzo Capacitación Higiene Postural.
15 de marzo 2022 Acta #230 Capacitación Formatos Participación Ciudadana
EVIDENCIA: https://drive.google.com/drive/folders/1SgB9zRI8OOMcXxLnIR7U0zrzvI7cLbRb __________________________________Para la vigencia del o1 de enero al 31 de marzo de 2022 , La Secretarìa de DEPORTE Y RECRACION: en los contratos de profesionales y de Especializados se han implementado alcances y metas de gestion del conocimeinto lo cual busque tanto la producción del conocimiento con su divulgacion para lograr la  retroalimentacion y ajuste respectivo</v>
      </c>
      <c r="K84" s="11">
        <f ca="1">IFERROR(__xludf.DUMMYFUNCTION("""COMPUTED_VALUE"""),44650)</f>
        <v>44650</v>
      </c>
      <c r="L84" s="12">
        <f ca="1">IFERROR(__xludf.DUMMYFUNCTION("""COMPUTED_VALUE"""),0.75)</f>
        <v>0.75</v>
      </c>
      <c r="M84" s="10" t="str">
        <f ca="1">IFERROR(__xludf.DUMMYFUNCTION("""COMPUTED_VALUE"""),"Para el corte del 01 de enero al 31  marzo de 2022, La Secretaría Privada, Como líderes de la Política de Participación Ciudadana continua con la estrategia de un profesional en cada secretaría enfocado en la participación ciudadana con el propósito de ma"&amp;"terializar en los indicadores el contacto con la comunidad y la gestión del municipio; adicional a ello en los retos asignados por el señor Alcalde a la Secretaría Privada sobre FIC y Presupuesto Participativo se  cuenta  con un grupo jurídico técnico, qu"&amp;"e apoya el proceso con el propósito de sanear gestiones anteriores. Se realizan reuniones periodicas donde se evalúa y revisan los resultados de los procesos.
En la presente vigencia nos encontramos trabajando desde el principio para la audiencia de rendi"&amp;"ción de cuentas con el firme propósito de cumplir con todas las proposiciones del DAFP y así construir una audiencia con todo los pormenores de la vigencia actual. 
Se está cumpliendo con la Política de Transparencia en la publicación de la información.
C"&amp;"ada contratista o funcionario tiene el perfil y el conocimiento idóneo para el cargo asignado.
Estrategias construcción de indicadores, formatos para recopilar la información digitalizados Excel y virtual, solicitudes de la comunidad.
Rendición de cuenta"&amp;"s: Katherine Londoño tel3207207634 Secretaría Privada
FIC :  Diana Muñoz Tel  3153776336 Secretaría Privada
Presupuesto Participativo: Fabián Valderrama Tel 3204427091 Secretaría Privada
Atención a la comunidad: Francy  Salazar Tel 3117821426 Secretaría P"&amp;"rivada
Salón del ciudadano Lincòn Mora  Tel 3159288388 Secretaría Privada
Mesa  de la  Legalidad  :JuanAntonio Mejia  Tel  3116101185 Secretaria Privada
Archivo: Linda Fernada Sanchez tel  3104453067.
 Cronograma de actividades de participación ciudadana"&amp;" y rendición de cuentas Actualizado
9 de febrero 2022 Acta de reunión #95  Capcitación introductoria del 2022,  con contratistas y funcionarios de la secretaría Privada, para tratar temas de organigrama de la oficina, contratación, cierre financiero, info"&amp;"rmes SECOP II y SIA Observa y Repositorio.
09 de marzo 2022  asesoría sobre el correcto diligenciamiento del formato inventario documental. Linda Fda Sanchez tel  3104453067
10 de marzo 2022 Capacitación Política Participación ciudadana en la gestión Públ"&amp;"ica.
11 de marzo Capacitación Higiene Postural.
15 de marzo 2022 Acta #230 Capacitación Formatos Participación Ciudadana
EVIDENCIA: https://drive.google.com/drive/folders/1SgB9zRI8OOMcXxLnIR7U0zrzvI7cLbRb __________________________________Para la vigenci"&amp;"a del o1 de enero al 31 de marzo de 2022 , La Secretarìa de DEPORTE Y RECRACION: en los contratos de profesionales y de Especializados se han implementado alcances y metas de gestion del conocimeinto lo cual busque tanto la producción del conocimiento con"&amp;" su divulgacion para lograr la  retroalimentacion y ajuste respectivo")</f>
        <v>Para el corte del 01 de enero al 31  marzo de 2022, La Secretaría Privada, Como líderes de la Política de Participación Ciudadana continua con la estrategia de un profesional en cada secretaría enfocado en la participación ciudadana con el propósito de materializar en los indicadores el contacto con la comunidad y la gestión del municipio; adicional a ello en los retos asignados por el señor Alcalde a la Secretaría Privada sobre FIC y Presupuesto Participativo se  cuenta  con un grupo jurídico técnico, que apoya el proceso con el propósito de sanear gestiones anteriores. Se realizan reuniones periodicas donde se evalúa y revisan los resultados de los procesos.
En la presente vigencia nos encontramos trabajando desde el principio para la audiencia de rendición de cuentas con el firme propósito de cumplir con todas las proposiciones del DAFP y así construir una audiencia con todo los pormenores de la vigencia actual. 
Se está cumpliendo con la Política de Transparencia en la publicación de la información.
Cada contratista o funcionario tiene el perfil y el conocimiento idóneo para el cargo asignado.
Estrategias construcción de indicadores, formatos para recopilar la información digitalizados Excel y virtual, solicitudes de la comunidad.
Rendición de cuentas: Katherine Londoño tel3207207634 Secretaría Privada
FIC :  Diana Muñoz Tel  3153776336 Secretaría Privada
Presupuesto Participativo: Fabián Valderrama Tel 3204427091 Secretaría Privada
Atención a la comunidad: Francy  Salazar Tel 3117821426 Secretaría Privada
Salón del ciudadano Lincòn Mora  Tel 3159288388 Secretaría Privada
Mesa  de la  Legalidad  :JuanAntonio Mejia  Tel  3116101185 Secretaria Privada
Archivo: Linda Fernada Sanchez tel  3104453067.
 Cronograma de actividades de participación ciudadana y rendición de cuentas Actualizado
9 de febrero 2022 Acta de reunión #95  Capcitación introductoria del 2022,  con contratistas y funcionarios de la secretaría Privada, para tratar temas de organigrama de la oficina, contratación, cierre financiero, informes SECOP II y SIA Observa y Repositorio.
09 de marzo 2022  asesoría sobre el correcto diligenciamiento del formato inventario documental. Linda Fda Sanchez tel  3104453067
10 de marzo 2022 Capacitación Política Participación ciudadana en la gestión Pública.
11 de marzo Capacitación Higiene Postural.
15 de marzo 2022 Acta #230 Capacitación Formatos Participación Ciudadana
EVIDENCIA: https://drive.google.com/drive/folders/1SgB9zRI8OOMcXxLnIR7U0zrzvI7cLbRb __________________________________Para la vigencia del o1 de enero al 31 de marzo de 2022 , La Secretarìa de DEPORTE Y RECRACION: en los contratos de profesionales y de Especializados se han implementado alcances y metas de gestion del conocimeinto lo cual busque tanto la producción del conocimiento con su divulgacion para lograr la  retroalimentacion y ajuste respectivo</v>
      </c>
      <c r="N84" s="11">
        <f ca="1">IFERROR(__xludf.DUMMYFUNCTION("""COMPUTED_VALUE"""),44742)</f>
        <v>44742</v>
      </c>
      <c r="O84" s="12">
        <f ca="1">IFERROR(__xludf.DUMMYFUNCTION("""COMPUTED_VALUE"""),0.78)</f>
        <v>0.78</v>
      </c>
      <c r="P84" s="10" t="str">
        <f ca="1">IFERROR(__xludf.DUMMYFUNCTION("""COMPUTED_VALUE"""),"Para el corte del 01 de enero al 31  marzo de 2022, La Secretaría Privada, Como líderes de la Política de Participación Ciudadana continua con la estrategia de un profesional en cada secretaría enfocado en la participación ciudadana con el propósito de ma"&amp;"terializar en los indicadores el contacto con la comunidad y la gestión del municipio; adicional a ello en los retos asignados por el señor Alcalde a la Secretaría Privada sobre FIC y Presupuesto Participativo se  cuenta  con un grupo jurídico técnico, qu"&amp;"e apoya el proceso con el propósito de sanear gestiones anteriores. Se realizan reuniones periodicas donde se evalúa y revisan los resultados de los procesos.
En la presente vigencia nos encontramos trabajando desde el principio para la audiencia de rendi"&amp;"ción de cuentas con el firme propósito de cumplir con todas las proposiciones del DAFP y así construir una audiencia con todo los pormenores de la vigencia actual. 
Se está cumpliendo con la Política de Transparencia en la publicación de la información.
C"&amp;"ada contratista o funcionario tiene el perfil y el conocimiento idóneo para el cargo asignado.
Estrategias construcción de indicadores, formatos para recopilar la información digitalizados Excel y virtual, solicitudes de la comunidad.
Rendición de cuenta"&amp;"s: Katherine Londoño tel3207207634 Secretaría Privada
FIC :  Diana Muñoz Tel  3153776336 Secretaría Privada
Presupuesto Participativo: Fabián Valderrama Tel 3204427091 Secretaría Privada
Atención a la comunidad: Francy  Salazar Tel 3117821426 Secretaría P"&amp;"rivada
Salón del ciudadano Lincòn Mora  Tel 3159288388 Secretaría Privada
Mesa  de la  Legalidad  :JuanAntonio Mejia  Tel  3116101185 Secretaria Privada
Archivo: Linda Fernada Sanchez tel  3104453067.
 Cronograma de actividades de participación ciudadana"&amp;" y rendición de cuentas Actualizado
9 de febrero 2022 Acta de reunión #95  Capcitación introductoria del 2022,  con contratistas y funcionarios de la secretaría Privada, para tratar temas de organigrama de la oficina, contratación, cierre financiero, info"&amp;"rmes SECOP II y SIA Observa y Repositorio.
09 de marzo 2022  asesoría sobre el correcto diligenciamiento del formato inventario documental. Linda Fda Sanchez tel  3104453067
10 de marzo 2022 Capacitación Política Participación ciudadana en la gestión Públ"&amp;"ica.
11 de marzo Capacitación Higiene Postural.
15 de marzo 2022 Acta #230 Capacitación Formatos Participación Ciudadana.
16 y 17 de mayo 2022 Revisión Tabla de Retención Documental.
1 de abril 2022  Acta # 1  Primera Mesa de la legalidad  del 2022.
4 de "&amp;"abril 2022 Acta # 330 Cronograma de actividades PAAC 2022 Y 2023
27 de abril 2022 Acta # 411 Conversatorio sobre corrupción.
06 de junio Capacitación Autocontrol en el marco MIPG- LA Cultura que 0ptimiza la Getión Pública
7 de junio 2022 Capacitación para"&amp;" personas responsables del PAAC a nivel central.
16 de junio 2022 Acta #615 Capacitación Registro solicitudes de la Comunidad.
06 de sept 2022, Acta 807, capacitación diligenciamiento Formulario Atención a Comunidades.
09 sept 2022, Acta 827, Socializació"&amp;"n formulario Atención a Comunidades.
EVIDENCIA: https://drive.google.com/drive/u/2/folders/1O-Gty2Atxsy502dBahOVw9qMAyrze7oj
""
")</f>
        <v xml:space="preserve">Para el corte del 01 de enero al 31  marzo de 2022, La Secretaría Privada, Como líderes de la Política de Participación Ciudadana continua con la estrategia de un profesional en cada secretaría enfocado en la participación ciudadana con el propósito de materializar en los indicadores el contacto con la comunidad y la gestión del municipio; adicional a ello en los retos asignados por el señor Alcalde a la Secretaría Privada sobre FIC y Presupuesto Participativo se  cuenta  con un grupo jurídico técnico, que apoya el proceso con el propósito de sanear gestiones anteriores. Se realizan reuniones periodicas donde se evalúa y revisan los resultados de los procesos.
En la presente vigencia nos encontramos trabajando desde el principio para la audiencia de rendición de cuentas con el firme propósito de cumplir con todas las proposiciones del DAFP y así construir una audiencia con todo los pormenores de la vigencia actual. 
Se está cumpliendo con la Política de Transparencia en la publicación de la información.
Cada contratista o funcionario tiene el perfil y el conocimiento idóneo para el cargo asignado.
Estrategias construcción de indicadores, formatos para recopilar la información digitalizados Excel y virtual, solicitudes de la comunidad.
Rendición de cuentas: Katherine Londoño tel3207207634 Secretaría Privada
FIC :  Diana Muñoz Tel  3153776336 Secretaría Privada
Presupuesto Participativo: Fabián Valderrama Tel 3204427091 Secretaría Privada
Atención a la comunidad: Francy  Salazar Tel 3117821426 Secretaría Privada
Salón del ciudadano Lincòn Mora  Tel 3159288388 Secretaría Privada
Mesa  de la  Legalidad  :JuanAntonio Mejia  Tel  3116101185 Secretaria Privada
Archivo: Linda Fernada Sanchez tel  3104453067.
 Cronograma de actividades de participación ciudadana y rendición de cuentas Actualizado
9 de febrero 2022 Acta de reunión #95  Capcitación introductoria del 2022,  con contratistas y funcionarios de la secretaría Privada, para tratar temas de organigrama de la oficina, contratación, cierre financiero, informes SECOP II y SIA Observa y Repositorio.
09 de marzo 2022  asesoría sobre el correcto diligenciamiento del formato inventario documental. Linda Fda Sanchez tel  3104453067
10 de marzo 2022 Capacitación Política Participación ciudadana en la gestión Pública.
11 de marzo Capacitación Higiene Postural.
15 de marzo 2022 Acta #230 Capacitación Formatos Participación Ciudadana.
16 y 17 de mayo 2022 Revisión Tabla de Retención Documental.
1 de abril 2022  Acta # 1  Primera Mesa de la legalidad  del 2022.
4 de abril 2022 Acta # 330 Cronograma de actividades PAAC 2022 Y 2023
27 de abril 2022 Acta # 411 Conversatorio sobre corrupción.
06 de junio Capacitación Autocontrol en el marco MIPG- LA Cultura que 0ptimiza la Getión Pública
7 de junio 2022 Capacitación para personas responsables del PAAC a nivel central.
16 de junio 2022 Acta #615 Capacitación Registro solicitudes de la Comunidad.
06 de sept 2022, Acta 807, capacitación diligenciamiento Formulario Atención a Comunidades.
09 sept 2022, Acta 827, Socialización formulario Atención a Comunidades.
EVIDENCIA: https://drive.google.com/drive/u/2/folders/1O-Gty2Atxsy502dBahOVw9qMAyrze7oj
"
</v>
      </c>
      <c r="Q84" s="11">
        <f ca="1">IFERROR(__xludf.DUMMYFUNCTION("""COMPUTED_VALUE"""),44834)</f>
        <v>44834</v>
      </c>
      <c r="R84" s="12">
        <f ca="1">IFERROR(__xludf.DUMMYFUNCTION("""COMPUTED_VALUE"""),0.89)</f>
        <v>0.89</v>
      </c>
      <c r="S84" s="10" t="str">
        <f ca="1">IFERROR(__xludf.DUMMYFUNCTION("""COMPUTED_VALUE"""),"Desde la secretaria de deportes se realizó el diplomado en deporte paralimpico y discapacidad, se 
Participó  en el congreso nacional de actividad fisica y ejercio y medicina deportiva.
Se realizo la capacitación a clubes deportivos, con el fin de fortale"&amp;"cer su capacidades. Evidencias  https://drive.google.com/drive/folders/1YxIElGQUaC2ejSoYj86NEPjfIjK_bHCl----Socializar el acceso a la información de la memoria institucional con que cuenta la Secretaría en 2023----------------Seguimiento y acompañamiento "&amp;"en el cumplimiento de los lineamientos de la  política Fortalecimiento Organizacional y Simplificación de  Procesos  a cada uno de los subprocesos de la Administración Municipal - Nivel Central, donde incluye actividades tales como:                       "&amp;"                                                                                     1.Actualización Mapa de riesgos de: gestión, se actualizaron  los siguientes subprocesos  : Secretaría Privada, por medio de solicitud SAIA No. 63633 del 08/11/2022.
Secr"&amp;"etaría de las TIC, por medio de oficio SAIA No. 65774 del 16/11/2022
Bienes Muebles y Recursos Físicos, SAIA No. 46824 del 31/08/2022                               2.Actualización Mapa de corrupción se realizó el 21 de julio de 2022, el cual se encuentra "&amp;"publicado en la página web de la Alcaldía,  a través del siguiente enlace: https://www.pereira.gov.co/documentos/880/2022/                                       3.Actualización Mapa de seguridad digital, esta en proceso de actualización.                  "&amp;"                                                                                       4.Actualizacion manual de procedimientos y caracterización, Mediante circular SAIA No 362 del  2 de noviembre de 2022, se reanudo el proceso de normalización de documen"&amp;"tos por SAIA, es así como a través de SAIA No 68453 del 25 de noviembre de la presente vigencia, se  informó a todos los lideres de los subprocesos y enlaces, que el plazo para la actualización de dichos documentos, si lo consideran pertinente, es hasta 1"&amp;"5 de diciembre,  que estos deben subirse a la plataforma SAIA módulo SIG, para ser validados por Gestión Documental , para luego ser publicados en la página Web de la Alcaldía de Pereira.                                                                    "&amp;"                                                                            5.Diseño, implementación, medición, análisis y seguimiento de los indicadores de gestión de los subprocesos que integran los procesos de gestión estratégica, de recursos y control"&amp;" de verificación y evaluación,  La medición y seguimiento del cuarto trimestre de los 12 subprocesos es reportada el 30 de diciembre de 2022, según solicitud de la Dirección de Sistemas Integrados de Gestión - SIG, mediante oficio SAIA.                   "&amp;"          6.Capacitación  en temas de MIPG,  se realizaron 2 jornadas, en la política de integridad: código de integridad y conflicto de interés y 3 cursos en la ESAP en Generalidades del Modelo Integrado de Planeación y Gestión - MIPG , Evaluación de des"&amp;"empeño y Contratación Estatal.                                                                                  Las evidencias se encuentran en la Dirección de Sistemas Integrados de Gestión. ------ La Direccion de Talento Humano viene implementando en el"&amp;" plan de capacitacion de los servidores publicos la presentacion de la dimension sexta del modelo integrado de planeacion y gestion.")</f>
        <v>Desde la secretaria de deportes se realizó el diplomado en deporte paralimpico y discapacidad, se 
Participó  en el congreso nacional de actividad fisica y ejercio y medicina deportiva.
Se realizo la capacitación a clubes deportivos, con el fin de fortalecer su capacidades. Evidencias  https://drive.google.com/drive/folders/1YxIElGQUaC2ejSoYj86NEPjfIjK_bHCl----Socializar el acceso a la información de la memoria institucional con que cuenta la Secretaría en 2023----------------Seguimiento y acompañamiento en el cumplimiento de los lineamientos de la  política Fortalecimiento Organizacional y Simplificación de  Procesos  a cada uno de los subprocesos de la Administración Municipal - Nivel Central, donde incluye actividades tales como:                                                                                                            1.Actualización Mapa de riesgos de: gestión, se actualizaron  los siguientes subprocesos  : Secretaría Privada, por medio de solicitud SAIA No. 63633 del 08/11/2022.
Secretaría de las TIC, por medio de oficio SAIA No. 65774 del 16/11/2022
Bienes Muebles y Recursos Físicos, SAIA No. 46824 del 31/08/2022                               2.Actualización Mapa de corrupción se realizó el 21 de julio de 2022, el cual se encuentra publicado en la página web de la Alcaldía,  a través del siguiente enlace: https://www.pereira.gov.co/documentos/880/2022/                                       3.Actualización Mapa de seguridad digital, esta en proceso de actualización.                                                                                                         4.Actualizacion manual de procedimientos y caracterización, Mediante circular SAIA No 362 del  2 de noviembre de 2022, se reanudo el proceso de normalización de documentos por SAIA, es así como a través de SAIA No 68453 del 25 de noviembre de la presente vigencia, se  informó a todos los lideres de los subprocesos y enlaces, que el plazo para la actualización de dichos documentos, si lo consideran pertinente, es hasta 15 de diciembre,  que estos deben subirse a la plataforma SAIA módulo SIG, para ser validados por Gestión Documental , para luego ser publicados en la página Web de la Alcaldía de Pereira.                                                                                                                                                5.Diseño, implementación, medición, análisis y seguimiento de los indicadores de gestión de los subprocesos que integran los procesos de gestión estratégica, de recursos y control de verificación y evaluación,  La medición y seguimiento del cuarto trimestre de los 12 subprocesos es reportada el 30 de diciembre de 2022, según solicitud de la Dirección de Sistemas Integrados de Gestión - SIG, mediante oficio SAIA.                             6.Capacitación  en temas de MIPG,  se realizaron 2 jornadas, en la política de integridad: código de integridad y conflicto de interés y 3 cursos en la ESAP en Generalidades del Modelo Integrado de Planeación y Gestión - MIPG , Evaluación de desempeño y Contratación Estatal.                                                                                  Las evidencias se encuentran en la Dirección de Sistemas Integrados de Gestión. ------ La Direccion de Talento Humano viene implementando en el plan de capacitacion de los servidores publicos la presentacion de la dimension sexta del modelo integrado de planeacion y gestion.</v>
      </c>
      <c r="T84" s="11">
        <f ca="1">IFERROR(__xludf.DUMMYFUNCTION("""COMPUTED_VALUE"""),44925)</f>
        <v>44925</v>
      </c>
      <c r="U84" s="10"/>
    </row>
    <row r="85" spans="1:21" ht="37.5" customHeight="1" x14ac:dyDescent="0.2">
      <c r="A85" s="10" t="str">
        <f ca="1">IFERROR(__xludf.DUMMYFUNCTION("""COMPUTED_VALUE"""),"Gestión del Conocimiento y la Innovación")</f>
        <v>Gestión del Conocimiento y la Innovación</v>
      </c>
      <c r="B85" s="10" t="str">
        <f ca="1">IFERROR(__xludf.DUMMYFUNCTION("""COMPUTED_VALUE"""),"Gestión del Conocimiento y la Innovación")</f>
        <v>Gestión del Conocimiento y la Innovación</v>
      </c>
      <c r="C85" s="10" t="str">
        <f ca="1">IFERROR(__xludf.DUMMYFUNCTION("""COMPUTED_VALUE"""),"Identificar, analizar, evaluar y poner en marcha métodos para aplicar procesos de innovación en la entidad.")</f>
        <v>Identificar, analizar, evaluar y poner en marcha métodos para aplicar procesos de innovación en la entidad.</v>
      </c>
      <c r="D85" s="10" t="str">
        <f ca="1">IFERROR(__xludf.DUMMYFUNCTION("""COMPUTED_VALUE"""),"Desarrollar métodos para procesos de innovación en la entidad")</f>
        <v>Desarrollar métodos para procesos de innovación en la entidad</v>
      </c>
      <c r="E85" s="10" t="str">
        <f ca="1">IFERROR(__xludf.DUMMYFUNCTION("""COMPUTED_VALUE"""),"No. Métodos identificados y evaluados/ No. Métodos identificados para aplicar procesos de innovación en la entidad")</f>
        <v>No. Métodos identificados y evaluados/ No. Métodos identificados para aplicar procesos de innovación en la entidad</v>
      </c>
      <c r="F85" s="11">
        <f ca="1">IFERROR(__xludf.DUMMYFUNCTION("""COMPUTED_VALUE"""),44588)</f>
        <v>44588</v>
      </c>
      <c r="G85" s="11">
        <f ca="1">IFERROR(__xludf.DUMMYFUNCTION("""COMPUTED_VALUE"""),44925)</f>
        <v>44925</v>
      </c>
      <c r="H85" s="10" t="str">
        <f ca="1">IFERROR(__xludf.DUMMYFUNCTION("""COMPUTED_VALUE"""),"Dirección Administrativa de Talento Humano -Transversal con las demás Secretarias de la Entidad")</f>
        <v>Dirección Administrativa de Talento Humano -Transversal con las demás Secretarias de la Entidad</v>
      </c>
      <c r="I85" s="12">
        <f ca="1">IFERROR(__xludf.DUMMYFUNCTION("""COMPUTED_VALUE"""),0.65)</f>
        <v>0.65</v>
      </c>
      <c r="J85" s="10" t="str">
        <f ca="1">IFERROR(__xludf.DUMMYFUNCTION("""COMPUTED_VALUE"""),"Para la vigencia del 01 de enero al 31 de marzo de 2022,  la Secretaría de Tecnologías de la Información y la Comunicación, se adelantan acciones que impulsan la innovación de la Alcaldía, en el marco del Plan de Desarrollo 2020 – 2023, con los programas "&amp;"Más gente con acceso a TIC y TICS para la producción y la ciudadanía. Para el primer trimestre de 2022, se tiene: 
1. Servicio de acceso a internet a través de Zonas WiFi en comunas y corregimientos del Municipio de Pereira
2. En pruebas App “Gobierno de "&amp;"la ciudad” en la que el contribuyente y el público en general pueda acceder a la información tributaria que comprende los servicios: Gestión de usuarios, Gestión de estado de cuenta y saldos de deuda, Gestión de consulta de acuerdos de pago, Gestión infor"&amp;"mativa y ayuda
3. Automatización de Trámites y Certificados. Se tienen disponibles 30 trámites en línea en la sede electrónica:  https://www.pereira.gov.co/tramites/
4. Herramienta Chat Bot para proveer canales de comunicación que mejoren la atención a lo"&amp;"s ciudadanos.
5. Firma Electrónica para los contribuyentes de Industria y Comercio a través del Portal Tributario: https://tributario.pereira.gov.co/smarttmtsuite-web-prod/faces/site/portal_userLogin.xhtml?type=portal&amp;entity=alcperei&amp;language=es&amp;implement"&amp;"ation=pruebas&amp;tl=Tnco
6. Sistema de Emergencias Médicas (SEM), para el registro de incidentes. 
7. Apoyo técnico para la implementación de una Red de Cámaras de Vigilancia con reconocimiento facial y de placas para la ciudad de Pereira.
8. Sistemas de inf"&amp;"ormación para el desarrollo de procesos de la entidad: 
• Aplicativo SIIFWEB Y Módulo Precontractual. Optimización de los procesos de gestión financiera y contractual, posibilitando la firma electrónica y la reducción del papel: http://siifweb.pereira.go"&amp;"v.co:9090/siifweb/comun/jsp/login.jsp
• Módulo de Actos Administrativos. http://siifweb.pereira.gov.co:9090/siifweb/comun/jsp/login.jsp
• En pruebas Módulo en el aplicativo SIIFWEB, para sistematizar los procesos de las inspecciones y corregidurías. _____"&amp;"________________Para la vigencia del 01 de enero al 31 de marzo de 2022, La Secretarìa de DEPORTE Y RECRACION:  Tiene planteado las realizacion de las pruebas de efectividad ademas de los indicadores de calidad del servicio ( ADHERENCIA, FIDELIZACIÓN) los"&amp;" cuales nos permiten determinar la aceptacion del servicio y las causas y condiciones que afectan su prestación.")</f>
        <v>Para la vigencia del 01 de enero al 31 de marzo de 2022,  la Secretaría de Tecnologías de la Información y la Comunicación, se adelantan acciones que impulsan la innovación de la Alcaldía, en el marco del Plan de Desarrollo 2020 – 2023, con los programas Más gente con acceso a TIC y TICS para la producción y la ciudadanía. Para el primer trimestre de 2022, se tiene: 
1. Servicio de acceso a internet a través de Zonas WiFi en comunas y corregimientos del Municipio de Pereira
2. En pruebas App “Gobierno de la ciudad” en la que el contribuyente y el público en general pueda acceder a la información tributaria que comprende los servicios: Gestión de usuarios, Gestión de estado de cuenta y saldos de deuda, Gestión de consulta de acuerdos de pago, Gestión informativa y ayuda
3. Automatización de Trámites y Certificados. Se tienen disponibles 30 trámites en línea en la sede electrónica:  https://www.pereira.gov.co/tramites/
4. Herramienta Chat Bot para proveer canales de comunicación que mejoren la atención a los ciudadanos.
5. Firma Electrónica para los contribuyentes de Industria y Comercio a través del Portal Tributario: https://tributario.pereira.gov.co/smarttmtsuite-web-prod/faces/site/portal_userLogin.xhtml?type=portal&amp;entity=alcperei&amp;language=es&amp;implementation=pruebas&amp;tl=Tnco
6. Sistema de Emergencias Médicas (SEM), para el registro de incidentes. 
7. Apoyo técnico para la implementación de una Red de Cámaras de Vigilancia con reconocimiento facial y de placas para la ciudad de Pereira.
8. Sistemas de información para el desarrollo de procesos de la entidad: 
• Aplicativo SIIFWEB Y Módulo Precontractual. Optimización de los procesos de gestión financiera y contractual, posibilitando la firma electrónica y la reducción del papel: http://siifweb.pereira.gov.co:9090/siifweb/comun/jsp/login.jsp
• Módulo de Actos Administrativos. http://siifweb.pereira.gov.co:9090/siifweb/comun/jsp/login.jsp
• En pruebas Módulo en el aplicativo SIIFWEB, para sistematizar los procesos de las inspecciones y corregidurías. _____________________Para la vigencia del 01 de enero al 31 de marzo de 2022, La Secretarìa de DEPORTE Y RECRACION:  Tiene planteado las realizacion de las pruebas de efectividad ademas de los indicadores de calidad del servicio ( ADHERENCIA, FIDELIZACIÓN) los cuales nos permiten determinar la aceptacion del servicio y las causas y condiciones que afectan su prestación.</v>
      </c>
      <c r="K85" s="11">
        <f ca="1">IFERROR(__xludf.DUMMYFUNCTION("""COMPUTED_VALUE"""),44650)</f>
        <v>44650</v>
      </c>
      <c r="L85" s="12">
        <f ca="1">IFERROR(__xludf.DUMMYFUNCTION("""COMPUTED_VALUE"""),0.67)</f>
        <v>0.67</v>
      </c>
      <c r="M85" s="10" t="str">
        <f ca="1">IFERROR(__xludf.DUMMYFUNCTION("""COMPUTED_VALUE"""),"""Para la Vigencia del 01 de Abril al 30 de Junio de 2022, Desde la Secretaría de Tecnologías de la Información y la Comunicación, se adelantan acciones que impulsan la innovación de la Alcaldía, en el marco del Plan de Desarrollo 2020 – 2023, con los pro"&amp;"gramas Más gente con acceso a TIC y TICS para la producción y la ciudadanía. Para el segundo trimestre de 2022, se tiene:
1. Fase I cámaras de reconocimiento facial, la fase II se encuentra en proceso (proyecto CORI)
2. Postes inteligentes
3. Laboratorio"&amp;"s de robótica entregado  
4.  Laboratorio Steam entregado
5. Ampliación del espectro de LTE de 5 Mhz a 18 Mhz el cual fue entregado por el Mintic. 
6. En pruebas finales App “Gobierno de la ciudad” su última versión se encuentra en la tienda de google sto"&amp;"re.Dicha aplicación, el contribuyente y el público en general pueda acceder a la información tributaria que comprende los servicios: Gestión de usuarios, Gestión de estado de cuenta y saldos de deuda, Gestión de consulta de acuerdos de pago, Gestión infor"&amp;"mativa y ayuda
""
")</f>
        <v xml:space="preserve">"Para la Vigencia del 01 de Abril al 30 de Junio de 2022, Desde la Secretaría de Tecnologías de la Información y la Comunicación, se adelantan acciones que impulsan la innovación de la Alcaldía, en el marco del Plan de Desarrollo 2020 – 2023, con los programas Más gente con acceso a TIC y TICS para la producción y la ciudadanía. Para el segundo trimestre de 2022, se tiene:
1. Fase I cámaras de reconocimiento facial, la fase II se encuentra en proceso (proyecto CORI)
2. Postes inteligentes
3. Laboratorios de robótica entregado  
4.  Laboratorio Steam entregado
5. Ampliación del espectro de LTE de 5 Mhz a 18 Mhz el cual fue entregado por el Mintic. 
6. En pruebas finales App “Gobierno de la ciudad” su última versión se encuentra en la tienda de google store.Dicha aplicación, el contribuyente y el público en general pueda acceder a la información tributaria que comprende los servicios: Gestión de usuarios, Gestión de estado de cuenta y saldos de deuda, Gestión de consulta de acuerdos de pago, Gestión informativa y ayuda
"
</v>
      </c>
      <c r="N85" s="11">
        <f ca="1">IFERROR(__xludf.DUMMYFUNCTION("""COMPUTED_VALUE"""),44742)</f>
        <v>44742</v>
      </c>
      <c r="O85" s="12">
        <f ca="1">IFERROR(__xludf.DUMMYFUNCTION("""COMPUTED_VALUE"""),0.68)</f>
        <v>0.68</v>
      </c>
      <c r="P85" s="10" t="str">
        <f ca="1">IFERROR(__xludf.DUMMYFUNCTION("""COMPUTED_VALUE"""),"Actualmente la Unidad Administrativa Especial Cuerpo Oficial de Bomberos se encuentra en el proceso de acreditación el Equipo USAR Pereira; el cual tiene como objetivo Certificar a la Unidad en rescate en Estructuras Colapsadas. Contando con técnicas avan"&amp;"zadas, que permitan una mejor atención en la ciudad cuando sea requerido. ")</f>
        <v xml:space="preserve">Actualmente la Unidad Administrativa Especial Cuerpo Oficial de Bomberos se encuentra en el proceso de acreditación el Equipo USAR Pereira; el cual tiene como objetivo Certificar a la Unidad en rescate en Estructuras Colapsadas. Contando con técnicas avanzadas, que permitan una mejor atención en la ciudad cuando sea requerido. </v>
      </c>
      <c r="Q85" s="11">
        <f ca="1">IFERROR(__xludf.DUMMYFUNCTION("""COMPUTED_VALUE"""),44834)</f>
        <v>44834</v>
      </c>
      <c r="R85" s="12">
        <f ca="1">IFERROR(__xludf.DUMMYFUNCTION("""COMPUTED_VALUE"""),0.86)</f>
        <v>0.86</v>
      </c>
      <c r="S85" s="10" t="str">
        <f ca="1">IFERROR(__xludf.DUMMYFUNCTION("""COMPUTED_VALUE"""),"Desde la secretaria de deportes se realizó el diplomado en deporte paralimpico y discapacidad, se 
Participó  en el congreso nacional de actividad fisica y ejercio y medicina deportiva.
Se realizo la capacitación a clubes deportivos, con el fin de forta"&amp;"lecer su capacidades. Evidencias  https://drive.google.com/drive/folders/1YxIElGQUaC2ejSoYj86NEPjfIjK_bHCl----Socializar el acceso a la información de la memoria institucional con que cuenta la Secretaría en 2023----------------Seguimiento y acompañamient"&amp;"o en el cumplimiento de los lineamientos de la  política Fortalecimiento Organizacional y Simplificación de  Procesos  a cada uno de los subprocesos de la Administración Municipal - Nivel Central, donde incluye actividades tales como:                     "&amp;"                                                                                       1.Actualización Mapa de riesgos de: gestión, se actualizaron  los siguientes subprocesos  : Secretaría Privada, por medio de solicitud SAIA No. 63633 del 08/11/2022.
S"&amp;"ecretaría de las TIC, por medio de oficio SAIA No. 65774 del 16/11/2022
Bienes Muebles y Recursos Físicos, SAIA No. 46824 del 31/08/2022                               2.Actualización Mapa de corrupción se realizó el 21 de julio de 2022, el cual se encuen"&amp;"tra publicado en la página web de la Alcaldía,  a través del siguiente enlace: https://www.pereira.gov.co/documentos/880/2022/                                       3.Actualización Mapa de seguridad digital, esta en proceso de actualización.              "&amp;"                                                                                           4.Actualizacion manual de procedimientos y caracterización, Mediante circular SAIA No 362 del  2 de noviembre de 2022, se reanudo el proceso de normalización de doc"&amp;"umentos por SAIA, es así como a través de SAIA No 68453 del 25 de noviembre de la presente vigencia, se  informó a todos los lideres de los subprocesos y enlaces, que el plazo para la actualización de dichos documentos, si lo consideran pertinente, es has"&amp;"ta 15 de diciembre,  que estos deben subirse a la plataforma SAIA módulo SIG, para ser validados por Gestión Documental , para luego ser publicados en la página Web de la Alcaldía de Pereira.                                                                "&amp;"                                                                                5.Diseño, implementación, medición, análisis y seguimiento de los indicadores de gestión de los subprocesos que integran los procesos de gestión estratégica, de recursos y con"&amp;"trol de verificación y evaluación,  La medición y seguimiento del cuarto trimestre de los 12 subprocesos es reportada el 30 de diciembre de 2022, según solicitud de la Dirección de Sistemas Integrados de Gestión - SIG, mediante oficio SAIA.               "&amp;"              6.Capacitación  en temas de MIPG,  se realizaron 2 jornadas, en la política de integridad: código de integridad y conflicto de interés y 3 cursos en la ESAP en Generalidades del Modelo Integrado de Planeación y Gestión - MIPG , Evaluación de"&amp;" desempeño y Contratación Estatal.                                                                                  Las evidencias se encuentran en la Dirección de Sistemas Integrados de Gestión. ")</f>
        <v xml:space="preserve">Desde la secretaria de deportes se realizó el diplomado en deporte paralimpico y discapacidad, se 
Participó  en el congreso nacional de actividad fisica y ejercio y medicina deportiva.
Se realizo la capacitación a clubes deportivos, con el fin de fortalecer su capacidades. Evidencias  https://drive.google.com/drive/folders/1YxIElGQUaC2ejSoYj86NEPjfIjK_bHCl----Socializar el acceso a la información de la memoria institucional con que cuenta la Secretaría en 2023----------------Seguimiento y acompañamiento en el cumplimiento de los lineamientos de la  política Fortalecimiento Organizacional y Simplificación de  Procesos  a cada uno de los subprocesos de la Administración Municipal - Nivel Central, donde incluye actividades tales como:                                                                                                            1.Actualización Mapa de riesgos de: gestión, se actualizaron  los siguientes subprocesos  : Secretaría Privada, por medio de solicitud SAIA No. 63633 del 08/11/2022.
Secretaría de las TIC, por medio de oficio SAIA No. 65774 del 16/11/2022
Bienes Muebles y Recursos Físicos, SAIA No. 46824 del 31/08/2022                               2.Actualización Mapa de corrupción se realizó el 21 de julio de 2022, el cual se encuentra publicado en la página web de la Alcaldía,  a través del siguiente enlace: https://www.pereira.gov.co/documentos/880/2022/                                       3.Actualización Mapa de seguridad digital, esta en proceso de actualización.                                                                                                         4.Actualizacion manual de procedimientos y caracterización, Mediante circular SAIA No 362 del  2 de noviembre de 2022, se reanudo el proceso de normalización de documentos por SAIA, es así como a través de SAIA No 68453 del 25 de noviembre de la presente vigencia, se  informó a todos los lideres de los subprocesos y enlaces, que el plazo para la actualización de dichos documentos, si lo consideran pertinente, es hasta 15 de diciembre,  que estos deben subirse a la plataforma SAIA módulo SIG, para ser validados por Gestión Documental , para luego ser publicados en la página Web de la Alcaldía de Pereira.                                                                                                                                                5.Diseño, implementación, medición, análisis y seguimiento de los indicadores de gestión de los subprocesos que integran los procesos de gestión estratégica, de recursos y control de verificación y evaluación,  La medición y seguimiento del cuarto trimestre de los 12 subprocesos es reportada el 30 de diciembre de 2022, según solicitud de la Dirección de Sistemas Integrados de Gestión - SIG, mediante oficio SAIA.                             6.Capacitación  en temas de MIPG,  se realizaron 2 jornadas, en la política de integridad: código de integridad y conflicto de interés y 3 cursos en la ESAP en Generalidades del Modelo Integrado de Planeación y Gestión - MIPG , Evaluación de desempeño y Contratación Estatal.                                                                                  Las evidencias se encuentran en la Dirección de Sistemas Integrados de Gestión. </v>
      </c>
      <c r="T85" s="11">
        <f ca="1">IFERROR(__xludf.DUMMYFUNCTION("""COMPUTED_VALUE"""),44925)</f>
        <v>44925</v>
      </c>
      <c r="U85" s="10" t="str">
        <f ca="1">IFERROR(__xludf.DUMMYFUNCTION("""COMPUTED_VALUE"""),"Indicador Tics  Método: Realización de Ciclos de racionalización en el marco del Comité de Racionalizacón de Trámites de la Entidad")</f>
        <v>Indicador Tics  Método: Realización de Ciclos de racionalización en el marco del Comité de Racionalizacón de Trámites de la Entidad</v>
      </c>
    </row>
    <row r="86" spans="1:21" ht="37.5" customHeight="1" x14ac:dyDescent="0.2">
      <c r="A86" s="10" t="str">
        <f ca="1">IFERROR(__xludf.DUMMYFUNCTION("""COMPUTED_VALUE"""),"Gestión del Conocimiento y la Innovación")</f>
        <v>Gestión del Conocimiento y la Innovación</v>
      </c>
      <c r="B86" s="10" t="str">
        <f ca="1">IFERROR(__xludf.DUMMYFUNCTION("""COMPUTED_VALUE"""),"Gestión del Conocimiento y la Innovación")</f>
        <v>Gestión del Conocimiento y la Innovación</v>
      </c>
      <c r="C86" s="10" t="str">
        <f ca="1">IFERROR(__xludf.DUMMYFUNCTION("""COMPUTED_VALUE"""),"Participar en eventos de innovación.")</f>
        <v>Participar en eventos de innovación.</v>
      </c>
      <c r="D86" s="10" t="str">
        <f ca="1">IFERROR(__xludf.DUMMYFUNCTION("""COMPUTED_VALUE"""),"Participar en eventos y actividades de innovación")</f>
        <v>Participar en eventos y actividades de innovación</v>
      </c>
      <c r="E86" s="10" t="str">
        <f ca="1">IFERROR(__xludf.DUMMYFUNCTION("""COMPUTED_VALUE"""),"No, de eventos de innovación en los que se participo/No. De eventos convocados")</f>
        <v>No, de eventos de innovación en los que se participo/No. De eventos convocados</v>
      </c>
      <c r="F86" s="11">
        <f ca="1">IFERROR(__xludf.DUMMYFUNCTION("""COMPUTED_VALUE"""),44588)</f>
        <v>44588</v>
      </c>
      <c r="G86" s="11">
        <f ca="1">IFERROR(__xludf.DUMMYFUNCTION("""COMPUTED_VALUE"""),44925)</f>
        <v>44925</v>
      </c>
      <c r="H86" s="10" t="str">
        <f ca="1">IFERROR(__xludf.DUMMYFUNCTION("""COMPUTED_VALUE"""),"Dirección Administrativa de Talento Humano -Transversal con las demás Secretarias de la Entidad")</f>
        <v>Dirección Administrativa de Talento Humano -Transversal con las demás Secretarias de la Entidad</v>
      </c>
      <c r="I86" s="12">
        <f ca="1">IFERROR(__xludf.DUMMYFUNCTION("""COMPUTED_VALUE"""),0.65)</f>
        <v>0.65</v>
      </c>
      <c r="J86" s="10" t="str">
        <f ca="1">IFERROR(__xludf.DUMMYFUNCTION("""COMPUTED_VALUE"""),"Para el corte del 01  de Enero al 31 demarzo de 2022 , La Secretaria DEPORTE Y RECREACIÓN:  a la fecha se ha participado en conversatorios a nivel departamental y nacional sobre temas relacionados con  el deporte, recreacion y actividad fisica al igual qu"&amp;"e su trabajo en las poblaciones especiales por condicion y situacion tales como Discapacidad, deporte paralimpico. ")</f>
        <v xml:space="preserve">Para el corte del 01  de Enero al 31 demarzo de 2022 , La Secretaria DEPORTE Y RECREACIÓN:  a la fecha se ha participado en conversatorios a nivel departamental y nacional sobre temas relacionados con  el deporte, recreacion y actividad fisica al igual que su trabajo en las poblaciones especiales por condicion y situacion tales como Discapacidad, deporte paralimpico. </v>
      </c>
      <c r="K86" s="11">
        <f ca="1">IFERROR(__xludf.DUMMYFUNCTION("""COMPUTED_VALUE"""),44650)</f>
        <v>44650</v>
      </c>
      <c r="L86" s="12">
        <f ca="1">IFERROR(__xludf.DUMMYFUNCTION("""COMPUTED_VALUE"""),0.65)</f>
        <v>0.65</v>
      </c>
      <c r="M86" s="10" t="str">
        <f ca="1">IFERROR(__xludf.DUMMYFUNCTION("""COMPUTED_VALUE"""),"Para el corte del 01 de Enero al 31 demarzo de 2022 , La Secretaria DEPORTE Y RECREACIÓN: a la fecha se ha participado en conversatorios a nivel departamental y nacional sobre temas relacionados con el deporte, recreacion y actividad fisica al igual que s"&amp;"u trabajo en las poblaciones especiales por condicion y situacion tales como Discapacidad, deporte paralimpico.")</f>
        <v>Para el corte del 01 de Enero al 31 demarzo de 2022 , La Secretaria DEPORTE Y RECREACIÓN: a la fecha se ha participado en conversatorios a nivel departamental y nacional sobre temas relacionados con el deporte, recreacion y actividad fisica al igual que su trabajo en las poblaciones especiales por condicion y situacion tales como Discapacidad, deporte paralimpico.</v>
      </c>
      <c r="N86" s="11">
        <f ca="1">IFERROR(__xludf.DUMMYFUNCTION("""COMPUTED_VALUE"""),44742)</f>
        <v>44742</v>
      </c>
      <c r="O86" s="12">
        <f ca="1">IFERROR(__xludf.DUMMYFUNCTION("""COMPUTED_VALUE"""),0.69)</f>
        <v>0.69</v>
      </c>
      <c r="P86" s="10" t="str">
        <f ca="1">IFERROR(__xludf.DUMMYFUNCTION("""COMPUTED_VALUE"""),"Desde la Secretaría de Tecnologías de la Información y la Comunicación, se adelantan acciones que impulsan la innovación de la Alcaldía, en el marco del Plan de Desarrollo 2020 – 2023, con los programas Más gente con acceso a TIC y TICS para la producción"&amp;" y la ciudadanía. Para el tercer trimestre de 2022 se tiene: 
•        Servicio de acceso a internet a través de Zonas WiFi en comunas y corregimientos del Municipio de Pereira.
•        Red de cámaras de reconocimiento facial y de placas, sistema en func"&amp;"ionamiento con 200 cámaras instaladas que permiten reconocimiento facial, de placas y vehículos. 
•        App ""Gobierno de la Ciudad en Funcionamiento, disponible para ser descargada con acceso a: Consultas y pagos de obligaciones, Documentos tributario"&amp;"s, PQRDS, Reporte de novedades viales, Redes Sociales.
•        Automatización de Trámites y Certificados. Se tienen disponibles 48 trámites en línea en la sede electrónica:  https://www.pereira.gov.co/tramites/
•        Herramienta Chat Bot para proveer "&amp;"canales de comunicación que mejoren la atención a los ciudadanos.
•        Sistemas de información para el desarrollo de procesos de la entidad: 
•        Aplicativo SIIFWEB Y Módulo Precontractual. Optimización de los procesos de gestión financiera y con"&amp;"tractual, posibilitando la firma electrónica y la reducción del papel:  _____________Actualmente la Unidad Administrativa Especial Cuerpo Oficial de Pereira, Participó en el Evento MOBEX 2022. En el cual asistieron los equipos USAR del Pais, para desaroll"&amp;"ar habilidades y destrezas en la atención de emergencias en Estructuras Colapsadas. ")</f>
        <v xml:space="preserve">Desde la Secretaría de Tecnologías de la Información y la Comunicación, se adelantan acciones que impulsan la innovación de la Alcaldía, en el marco del Plan de Desarrollo 2020 – 2023, con los programas Más gente con acceso a TIC y TICS para la producción y la ciudadanía. Para el tercer trimestre de 2022 se tiene: 
•        Servicio de acceso a internet a través de Zonas WiFi en comunas y corregimientos del Municipio de Pereira.
•        Red de cámaras de reconocimiento facial y de placas, sistema en funcionamiento con 200 cámaras instaladas que permiten reconocimiento facial, de placas y vehículos. 
•        App "Gobierno de la Ciudad en Funcionamiento, disponible para ser descargada con acceso a: Consultas y pagos de obligaciones, Documentos tributarios, PQRDS, Reporte de novedades viales, Redes Sociales.
•        Automatización de Trámites y Certificados. Se tienen disponibles 48 trámites en línea en la sede electrónica:  https://www.pereira.gov.co/tramites/
•        Herramienta Chat Bot para proveer canales de comunicación que mejoren la atención a los ciudadanos.
•        Sistemas de información para el desarrollo de procesos de la entidad: 
•        Aplicativo SIIFWEB Y Módulo Precontractual. Optimización de los procesos de gestión financiera y contractual, posibilitando la firma electrónica y la reducción del papel:  _____________Actualmente la Unidad Administrativa Especial Cuerpo Oficial de Pereira, Participó en el Evento MOBEX 2022. En el cual asistieron los equipos USAR del Pais, para desarollar habilidades y destrezas en la atención de emergencias en Estructuras Colapsadas. </v>
      </c>
      <c r="Q86" s="11"/>
      <c r="R86" s="12"/>
      <c r="S86" s="10" t="str">
        <f ca="1">IFERROR(__xludf.DUMMYFUNCTION("""COMPUTED_VALUE"""),"Desde la secretaria de deporte se participo en los eventos ""ExpoU” y ""Pereira es un Parche,en el  foro de ciclismo urbano y recreativo utp, igualmente en las 
Mesas técnicas y comites locales de infraestructura y desarrollo deportivo con el ministerio d"&amp;"el deporte y los departamentos de Caldas, Quindio y Risaralda. Evidencias  https://drive.google.com/drive/folders/13ElQKfvzn3qYcZdJlgdzK1gIobA2r8Rq
https://drive.google.com/drive/folders/13ElQKfvzn3qYcZdJlgdzK1gIobA2r8Rq")</f>
        <v>Desde la secretaria de deporte se participo en los eventos "ExpoU” y "Pereira es un Parche,en el  foro de ciclismo urbano y recreativo utp, igualmente en las 
Mesas técnicas y comites locales de infraestructura y desarrollo deportivo con el ministerio del deporte y los departamentos de Caldas, Quindio y Risaralda. Evidencias  https://drive.google.com/drive/folders/13ElQKfvzn3qYcZdJlgdzK1gIobA2r8Rq
https://drive.google.com/drive/folders/13ElQKfvzn3qYcZdJlgdzK1gIobA2r8Rq</v>
      </c>
      <c r="T86" s="11">
        <f ca="1">IFERROR(__xludf.DUMMYFUNCTION("""COMPUTED_VALUE"""),44925)</f>
        <v>44925</v>
      </c>
      <c r="U86" s="10"/>
    </row>
    <row r="87" spans="1:21" ht="37.5" customHeight="1" x14ac:dyDescent="0.2">
      <c r="A87" s="10" t="str">
        <f ca="1">IFERROR(__xludf.DUMMYFUNCTION("""COMPUTED_VALUE"""),"Gestión del Conocimiento y la Innovación")</f>
        <v>Gestión del Conocimiento y la Innovación</v>
      </c>
      <c r="B87" s="10" t="str">
        <f ca="1">IFERROR(__xludf.DUMMYFUNCTION("""COMPUTED_VALUE"""),"Gestión del Conocimiento y la Innovación")</f>
        <v>Gestión del Conocimiento y la Innovación</v>
      </c>
      <c r="C87" s="10" t="str">
        <f ca="1">IFERROR(__xludf.DUMMYFUNCTION("""COMPUTED_VALUE"""),"Identificar las necesidades de investigación en la entidad, implementar acciones y evaluarlas.")</f>
        <v>Identificar las necesidades de investigación en la entidad, implementar acciones y evaluarlas.</v>
      </c>
      <c r="D87" s="10" t="str">
        <f ca="1">IFERROR(__xludf.DUMMYFUNCTION("""COMPUTED_VALUE"""),"Talleres de
 investigación e
 implementación del
 conocimiento
 intelectual en la Alcaldía Municipio de Pereira")</f>
        <v>Talleres de
 investigación e
 implementación del
 conocimiento
 intelectual en la Alcaldía Municipio de Pereira</v>
      </c>
      <c r="E87" s="10" t="str">
        <f ca="1">IFERROR(__xludf.DUMMYFUNCTION("""COMPUTED_VALUE"""),"No. De necesidades de investigación identificadas y evaluadas/No. De necesidades de investigación identificadas")</f>
        <v>No. De necesidades de investigación identificadas y evaluadas/No. De necesidades de investigación identificadas</v>
      </c>
      <c r="F87" s="11">
        <f ca="1">IFERROR(__xludf.DUMMYFUNCTION("""COMPUTED_VALUE"""),44588)</f>
        <v>44588</v>
      </c>
      <c r="G87" s="11">
        <f ca="1">IFERROR(__xludf.DUMMYFUNCTION("""COMPUTED_VALUE"""),44925)</f>
        <v>44925</v>
      </c>
      <c r="H87" s="10" t="str">
        <f ca="1">IFERROR(__xludf.DUMMYFUNCTION("""COMPUTED_VALUE"""),"Dirección Administrativa de Talento Humano -Transversal con las demás Secretarias de la Entidad")</f>
        <v>Dirección Administrativa de Talento Humano -Transversal con las demás Secretarias de la Entidad</v>
      </c>
      <c r="I87" s="12">
        <f ca="1">IFERROR(__xludf.DUMMYFUNCTION("""COMPUTED_VALUE"""),0.65)</f>
        <v>0.65</v>
      </c>
      <c r="J87" s="10" t="str">
        <f ca="1">IFERROR(__xludf.DUMMYFUNCTION("""COMPUTED_VALUE"""),"Para el corte del 01 de Enero  al 31  de Marzo  de 2022 , La Secretaría de DEPORTE Y RECREACION:  Actualmente se esta desarrollando un convenio con la utp para desarollar 3 investigaciones al interior de la secretaria, al igual que procesos de capacitacio"&amp;"n y la realizacion de las pruebas de efectividad de los proyectos de la secretaria lo cual dejara documentos cientificos  y socializacion de estos en diferentes espacios.")</f>
        <v>Para el corte del 01 de Enero  al 31  de Marzo  de 2022 , La Secretaría de DEPORTE Y RECREACION:  Actualmente se esta desarrollando un convenio con la utp para desarollar 3 investigaciones al interior de la secretaria, al igual que procesos de capacitacion y la realizacion de las pruebas de efectividad de los proyectos de la secretaria lo cual dejara documentos cientificos  y socializacion de estos en diferentes espacios.</v>
      </c>
      <c r="K87" s="11">
        <f ca="1">IFERROR(__xludf.DUMMYFUNCTION("""COMPUTED_VALUE"""),44650)</f>
        <v>44650</v>
      </c>
      <c r="L87" s="12">
        <f ca="1">IFERROR(__xludf.DUMMYFUNCTION("""COMPUTED_VALUE"""),0.65)</f>
        <v>0.65</v>
      </c>
      <c r="M87" s="10" t="str">
        <f ca="1">IFERROR(__xludf.DUMMYFUNCTION("""COMPUTED_VALUE"""),"Para el corte del 01 de Enero al 31 de Marzo de 2022 , La Secretaría de DEPORTE Y RECREACION: Actualmente se esta desarrollando un convenio con la utp para desarollar 3 investigaciones al interior de la secretaria, al igual que procesos de capacitacion y "&amp;"la realizacion de las pruebas de efectividad de los proyectos de la secretaria lo cual dejara documentos cientificos y socializacion de estos en diferentes espacios.")</f>
        <v>Para el corte del 01 de Enero al 31 de Marzo de 2022 , La Secretaría de DEPORTE Y RECREACION: Actualmente se esta desarrollando un convenio con la utp para desarollar 3 investigaciones al interior de la secretaria, al igual que procesos de capacitacion y la realizacion de las pruebas de efectividad de los proyectos de la secretaria lo cual dejara documentos cientificos y socializacion de estos en diferentes espacios.</v>
      </c>
      <c r="N87" s="11">
        <f ca="1">IFERROR(__xludf.DUMMYFUNCTION("""COMPUTED_VALUE"""),44742)</f>
        <v>44742</v>
      </c>
      <c r="O87" s="12">
        <f ca="1">IFERROR(__xludf.DUMMYFUNCTION("""COMPUTED_VALUE"""),0.65)</f>
        <v>0.65</v>
      </c>
      <c r="P87" s="10" t="str">
        <f ca="1">IFERROR(__xludf.DUMMYFUNCTION("""COMPUTED_VALUE"""),"Este tercer trimestre no hubo avance, este porcentaje de avance reflejado correspondeal segundo seguimiento de 2022. ")</f>
        <v xml:space="preserve">Este tercer trimestre no hubo avance, este porcentaje de avance reflejado correspondeal segundo seguimiento de 2022. </v>
      </c>
      <c r="Q87" s="11">
        <f ca="1">IFERROR(__xludf.DUMMYFUNCTION("""COMPUTED_VALUE"""),44834)</f>
        <v>44834</v>
      </c>
      <c r="R87" s="12"/>
      <c r="S87" s="10" t="str">
        <f ca="1">IFERROR(__xludf.DUMMYFUNCTION("""COMPUTED_VALUE"""),"en la secretaria se han identificado la necesidad de las invetigacioens en  el Perfil de Condición Física en Deportistas con Discapacidad Visual y Auditiva, La construcción de instrumentos técnicos que facilite la evaluación de los procesos, el control de"&amp;" los formadores de los porgramas, Desarrollar un instrumento que facilite la medición del impacto social en las comunidades intervenidas y el El diágnostico del estado actual de los escenarios deportivos Evidencias   https://drive.google.com/drive/folders"&amp;"/1-RhCIKd_zGJR_lvGzF9tYJjoYgI8H94z   ---------Desde la Secretaría de Vivienda Social, se tiene la necesidad de una plataforma que permita el registro de las caracterizaciones sociales y técnica, asi mismo, agilizar su tabulación y permite el fácil acceso "&amp;"a la información enlazado con los informes para las políticas públicas y/o de resultados.  Adicionalmente, para el trabajo en campo se requiere disponer de herramientas tecnológicas para la recolección de la información (tablets), y en la oficina se requi"&amp;"ere el cambio de los equipos de computo puesto que los actuales se encuentran obsoletos. ")</f>
        <v xml:space="preserve">en la secretaria se han identificado la necesidad de las invetigacioens en  el Perfil de Condición Física en Deportistas con Discapacidad Visual y Auditiva, La construcción de instrumentos técnicos que facilite la evaluación de los procesos, el control de los formadores de los porgramas, Desarrollar un instrumento que facilite la medición del impacto social en las comunidades intervenidas y el El diágnostico del estado actual de los escenarios deportivos Evidencias   https://drive.google.com/drive/folders/1-RhCIKd_zGJR_lvGzF9tYJjoYgI8H94z   ---------Desde la Secretaría de Vivienda Social, se tiene la necesidad de una plataforma que permita el registro de las caracterizaciones sociales y técnica, asi mismo, agilizar su tabulación y permite el fácil acceso a la información enlazado con los informes para las políticas públicas y/o de resultados.  Adicionalmente, para el trabajo en campo se requiere disponer de herramientas tecnológicas para la recolección de la información (tablets), y en la oficina se requiere el cambio de los equipos de computo puesto que los actuales se encuentran obsoletos. </v>
      </c>
      <c r="T87" s="11">
        <f ca="1">IFERROR(__xludf.DUMMYFUNCTION("""COMPUTED_VALUE"""),44925)</f>
        <v>44925</v>
      </c>
      <c r="U87" s="10"/>
    </row>
    <row r="88" spans="1:21" ht="37.5" customHeight="1" x14ac:dyDescent="0.2">
      <c r="A88" s="10" t="str">
        <f ca="1">IFERROR(__xludf.DUMMYFUNCTION("""COMPUTED_VALUE"""),"Gestión del Conocimiento y la Innovación")</f>
        <v>Gestión del Conocimiento y la Innovación</v>
      </c>
      <c r="B88" s="10" t="str">
        <f ca="1">IFERROR(__xludf.DUMMYFUNCTION("""COMPUTED_VALUE"""),"Gestión del Conocimiento y la Innovación")</f>
        <v>Gestión del Conocimiento y la Innovación</v>
      </c>
      <c r="C88" s="10" t="str">
        <f ca="1">IFERROR(__xludf.DUMMYFUNCTION("""COMPUTED_VALUE"""),"Participar en eventos académicos nacionales o internacionales gestionados por la entidad como asistente o panelista.")</f>
        <v>Participar en eventos académicos nacionales o internacionales gestionados por la entidad como asistente o panelista.</v>
      </c>
      <c r="D88" s="10" t="str">
        <f ca="1">IFERROR(__xludf.DUMMYFUNCTION("""COMPUTED_VALUE"""),"Determinar los eventos académicos a los cuales se pueda asistir a nivel nacional o internacional")</f>
        <v>Determinar los eventos académicos a los cuales se pueda asistir a nivel nacional o internacional</v>
      </c>
      <c r="E88" s="10" t="str">
        <f ca="1">IFERROR(__xludf.DUMMYFUNCTION("""COMPUTED_VALUE"""),"No, de eventos de innovación en los que se participo/No. De eventos programados")</f>
        <v>No, de eventos de innovación en los que se participo/No. De eventos programados</v>
      </c>
      <c r="F88" s="11">
        <f ca="1">IFERROR(__xludf.DUMMYFUNCTION("""COMPUTED_VALUE"""),44588)</f>
        <v>44588</v>
      </c>
      <c r="G88" s="11">
        <f ca="1">IFERROR(__xludf.DUMMYFUNCTION("""COMPUTED_VALUE"""),44925)</f>
        <v>44925</v>
      </c>
      <c r="H88" s="10" t="str">
        <f ca="1">IFERROR(__xludf.DUMMYFUNCTION("""COMPUTED_VALUE"""),"Dirección Administrativa de Talento Humano -Transversal con las demás Secretarias de la Entidad")</f>
        <v>Dirección Administrativa de Talento Humano -Transversal con las demás Secretarias de la Entidad</v>
      </c>
      <c r="I88" s="12">
        <f ca="1">IFERROR(__xludf.DUMMYFUNCTION("""COMPUTED_VALUE"""),0.65)</f>
        <v>0.65</v>
      </c>
      <c r="J88" s="10" t="str">
        <f ca="1">IFERROR(__xludf.DUMMYFUNCTION("""COMPUTED_VALUE"""),"Para el corte de 01 de enero  a 31 deMarzo de 2022 ,, Desde la Secretaría de Tecnologías de la Información y la Comunicación, se ha participado en charlas relacionadas con la iniciativa de Teletrabajo, en el marco del proceso de Transformación Digital del"&amp;" mundo laboral liderado por MINTIC. Documentos: https://drive.google.com/drive/folders/1pEvxuXkrgv1-iSMufB0efKRZE_EGxrwv?usp=sharing
Participación en Sesiones virtuales de MINTIC: Hablemos de Gobierno Digital https://www.facebook.com/watch/80681696914/")</f>
        <v>Para el corte de 01 de enero  a 31 deMarzo de 2022 ,, Desde la Secretaría de Tecnologías de la Información y la Comunicación, se ha participado en charlas relacionadas con la iniciativa de Teletrabajo, en el marco del proceso de Transformación Digital del mundo laboral liderado por MINTIC. Documentos: https://drive.google.com/drive/folders/1pEvxuXkrgv1-iSMufB0efKRZE_EGxrwv?usp=sharing
Participación en Sesiones virtuales de MINTIC: Hablemos de Gobierno Digital https://www.facebook.com/watch/80681696914/</v>
      </c>
      <c r="K88" s="11">
        <f ca="1">IFERROR(__xludf.DUMMYFUNCTION("""COMPUTED_VALUE"""),44650)</f>
        <v>44650</v>
      </c>
      <c r="L88" s="12">
        <f ca="1">IFERROR(__xludf.DUMMYFUNCTION("""COMPUTED_VALUE"""),0.67)</f>
        <v>0.67</v>
      </c>
      <c r="M88" s="10" t="str">
        <f ca="1">IFERROR(__xludf.DUMMYFUNCTION("""COMPUTED_VALUE"""),"""Para la Vigencia del 01 de Abril al 30 de Junio de 2022, Desde la Secretaría de Tecnologías de la Información y la Comunicación, se asistió a la versión # 12 de COLOMBIA 4.0 (evento de industrias creativas digitales y TI de latinoamerica), los días 5, 6"&amp;" y 7 de mayo de 2022 en Corferias en la ciudad de Bogotá.
La secretaría TIC participó de la jornada de capacitación """"Autenticación de los territorios"""", orientada por parte de MINTIC el 20 de abril de 2022 en la ciudad de Pereira. Durante una jornad"&amp;"a se capacitó a los líderes TI, en la digitalización de trámites, autenticación y carpeta ciudadana digital, entre otros
https://us16.campaign-archive.com/?e=[UNIQID]&amp;u=4deb89a7cfea9f8fc30c4382f&amp;id=774d9c28cf""
")</f>
        <v xml:space="preserve">"Para la Vigencia del 01 de Abril al 30 de Junio de 2022, Desde la Secretaría de Tecnologías de la Información y la Comunicación, se asistió a la versión # 12 de COLOMBIA 4.0 (evento de industrias creativas digitales y TI de latinoamerica), los días 5, 6 y 7 de mayo de 2022 en Corferias en la ciudad de Bogotá.
La secretaría TIC participó de la jornada de capacitación ""Autenticación de los territorios"", orientada por parte de MINTIC el 20 de abril de 2022 en la ciudad de Pereira. Durante una jornada se capacitó a los líderes TI, en la digitalización de trámites, autenticación y carpeta ciudadana digital, entre otros
https://us16.campaign-archive.com/?e=[UNIQID]&amp;u=4deb89a7cfea9f8fc30c4382f&amp;id=774d9c28cf"
</v>
      </c>
      <c r="N88" s="11">
        <f ca="1">IFERROR(__xludf.DUMMYFUNCTION("""COMPUTED_VALUE"""),44742)</f>
        <v>44742</v>
      </c>
      <c r="O88" s="12">
        <f ca="1">IFERROR(__xludf.DUMMYFUNCTION("""COMPUTED_VALUE"""),0.85)</f>
        <v>0.85</v>
      </c>
      <c r="P88" s="10" t="str">
        <f ca="1">IFERROR(__xludf.DUMMYFUNCTION("""COMPUTED_VALUE"""),"Desde la Secretaría de Tecnologías de la Información y la Comunicación, en el tercer trimestre del año 2022 se tuvo participación en el congreso Internacional de TIC ANDICOM, congreso más representativo de Latinoamérica, celebrado en Cartagena de Indias d"&amp;"el 31 de agosto al 02 de septiembre del 2022.
Evidencias: https://drive.google.com/drive/folders/1WjSTMdYL0SpArpOrX2ifFgZ-9YC-9XLu?usp=sharing.________________________________________________________________________________________________________________"&amp;"________________________________________________________________________________________________________La Direccion de Gestion de Taento Humano participo en  la reunión  virtual con la alcaldía de la ciudad de Cali en el compartir de experiencia  de la p"&amp;"olítica de Gestión del Conocimiento y la Innovación como estrategia para el fortalecimiento  de la política en la Secretaria de Desarrollo administrativa  liderado por la dirección de talento humano.        Asi mismo esta Direccion coordino y gestiono  r"&amp;"eunión virtual con la Dra Zoraida Rueda Penagos  Comunicadora Social, Periodista y Docente de la Escuela Superior de Administración Publica  y  el doctor   Carlos Gutierrez Cuevas autor del libro  Gestion del Conocimiento en la Practica de la Ciudad de Bo"&amp;"gotá con el ánimo de compartir estrategias para fortalecer la política de Gestión del Conocimiento y la Innovación de la Secretaria y que lidera la Dirección de Talento humano.         La Direccion de talento Humano participo en el seminario sobre la pol"&amp;"ítica de Gestión del Conocimiento y la Innovación  que gestiono la Dirección de  talento Humano con la Escuela Superior de Administración Publica en el municipio de Dosquebradas con el animo de intercambiar conocimientos y fortalecer la implementación de "&amp;"la política en la Secretaria de Gestión  Administrativa de la Alcaldía de Pereira.
____________________________________________________________________________________________________________________________________________________________________________"&amp;"_____________________""Para el corte de 01 de enero a 31 de marzo de 2022, La Secretaria Privada  ha participado en gestión y realización de capacitaciones desde ASOCAPITALES para los diferentes funcionarios y contratistas del municipio de Pereira:
16 de "&amp;"marzo 2022 Conferencia ofrecida por Asocapitales en temas relacionados con las modificaciones modificaciones al Régimen Disciplinario incorporadas en el Ley 1952 de 2019. Dr Hugo Alejandro Salazar Tel 3162476859
29 de marzo 2022 Aprendiendo de Regalias  D"&amp;"r Hugo Alejandro Salazar Tel 3162476859
29 de marzo 2022  Séptimo Encuentro del Equipo Transversal de Relación Estado Ciudadano. Paula Andrea Holguín Tel 3178940256.
del 19 de abril al 22 de abril Semana Sectorial de Gestión del Conocimeinto e Innovación."&amp;"Paula Andrea Holguín Tel 3178940256.
16 de mayo 2022 Capacitación Rendición de Cuentas función pública.
7 de junio 2022  Socialización de la Resolución 01117 del 5 de abril del 2022, la cual establece los lineamientos de transformación digital para estruc"&amp;"turar las estrategias de Ciudades y Territorios Inteligentes, transmitida de forma virtual por Asocapitales.Paula Andrea Holguín Tel 3178940256.
14 de junio 2022 Quinto Encuentro Trnasversal de Gestión del Conocimiento e Innovación.Paula Andrea Holguín Te"&amp;"l 3178940256.
22 de junio 2022 Microtráfico y consumo de drogas: Impacto en la convivencia ciudadana y salud pública. Dr Hugo Alejandro Salazar Tel 3162476859.
28 de junio 2022 Capacitación SIGEP II.Paula Andrea Holguín Tel 3178940256.
EVIDENCIA: https:/"&amp;"/drive.google.com/drive/u/2/folders/1O-Gty2Atxsy502dBahOVw9qMAyrze7oj""______________")</f>
        <v>Desde la Secretaría de Tecnologías de la Información y la Comunicación, en el tercer trimestre del año 2022 se tuvo participación en el congreso Internacional de TIC ANDICOM, congreso más representativo de Latinoamérica, celebrado en Cartagena de Indias del 31 de agosto al 02 de septiembre del 2022.
Evidencias: https://drive.google.com/drive/folders/1WjSTMdYL0SpArpOrX2ifFgZ-9YC-9XLu?usp=sharing.________________________________________________________________________________________________________________________________________________________________________________________________________________________La Direccion de Gestion de Taento Humano participo en  la reunión  virtual con la alcaldía de la ciudad de Cali en el compartir de experiencia  de la política de Gestión del Conocimiento y la Innovación como estrategia para el fortalecimiento  de la política en la Secretaria de Desarrollo administrativa  liderado por la dirección de talento humano.        Asi mismo esta Direccion coordino y gestiono  reunión virtual con la Dra Zoraida Rueda Penagos  Comunicadora Social, Periodista y Docente de la Escuela Superior de Administración Publica  y  el doctor   Carlos Gutierrez Cuevas autor del libro  Gestion del Conocimiento en la Practica de la Ciudad de Bogotá con el ánimo de compartir estrategias para fortalecer la política de Gestión del Conocimiento y la Innovación de la Secretaria y que lidera la Dirección de Talento humano.         La Direccion de talento Humano participo en el seminario sobre la política de Gestión del Conocimiento y la Innovación  que gestiono la Dirección de  talento Humano con la Escuela Superior de Administración Publica en el municipio de Dosquebradas con el animo de intercambiar conocimientos y fortalecer la implementación de la política en la Secretaria de Gestión  Administrativa de la Alcaldía de Pereira.
_________________________________________________________________________________________________________________________________________________________________________________________________"Para el corte de 01 de enero a 31 de marzo de 2022, La Secretaria Privada  ha participado en gestión y realización de capacitaciones desde ASOCAPITALES para los diferentes funcionarios y contratistas del municipio de Pereira:
16 de marzo 2022 Conferencia ofrecida por Asocapitales en temas relacionados con las modificaciones modificaciones al Régimen Disciplinario incorporadas en el Ley 1952 de 2019. Dr Hugo Alejandro Salazar Tel 3162476859
29 de marzo 2022 Aprendiendo de Regalias  Dr Hugo Alejandro Salazar Tel 3162476859
29 de marzo 2022  Séptimo Encuentro del Equipo Transversal de Relación Estado Ciudadano. Paula Andrea Holguín Tel 3178940256.
del 19 de abril al 22 de abril Semana Sectorial de Gestión del Conocimeinto e Innovación.Paula Andrea Holguín Tel 3178940256.
16 de mayo 2022 Capacitación Rendición de Cuentas función pública.
7 de junio 2022  Socialización de la Resolución 01117 del 5 de abril del 2022, la cual establece los lineamientos de transformación digital para estructurar las estrategias de Ciudades y Territorios Inteligentes, transmitida de forma virtual por Asocapitales.Paula Andrea Holguín Tel 3178940256.
14 de junio 2022 Quinto Encuentro Trnasversal de Gestión del Conocimiento e Innovación.Paula Andrea Holguín Tel 3178940256.
22 de junio 2022 Microtráfico y consumo de drogas: Impacto en la convivencia ciudadana y salud pública. Dr Hugo Alejandro Salazar Tel 3162476859.
28 de junio 2022 Capacitación SIGEP II.Paula Andrea Holguín Tel 3178940256.
EVIDENCIA: https://drive.google.com/drive/u/2/folders/1O-Gty2Atxsy502dBahOVw9qMAyrze7oj"______________</v>
      </c>
      <c r="Q88" s="11">
        <f ca="1">IFERROR(__xludf.DUMMYFUNCTION("""COMPUTED_VALUE"""),44834)</f>
        <v>44834</v>
      </c>
      <c r="R88" s="12">
        <f ca="1">IFERROR(__xludf.DUMMYFUNCTION("""COMPUTED_VALUE"""),0.87)</f>
        <v>0.87</v>
      </c>
      <c r="S88" s="10" t="str">
        <f ca="1">IFERROR(__xludf.DUMMYFUNCTION("""COMPUTED_VALUE"""),"CICLO DE CAPACITACIONES Abril 23 al 28 de mayo DE 2022. Certificado por INCOBIDA. CURSO VIRTUAL TEÓRICO PRÁCTICO DE ACTIVIDAD FÍSICA DIRIGIDA MUSICALIZADO 19 AL 31 de agosto de 2022. Certificado por el Ministerio del Deporte. Encuentro de Refuerzo de Acti"&amp;"vidad Física Dirigida Musicalizada 5 al 7 de septiembre en la ciudad de Armenia. Certificado por el Ministerio del Deporte. XI Curso de Políticas y Programas para la Promoción de Hábitos y Estilos de Vida Saludable 26 y 27 de octubre de 2022. Certificado "&amp;"por el Ministerio del Deporte. Curso EXERCISE IS MEDICINE 03 de noviembre. Certificado por El Centro Regional de EXERCISE IS MEDICINE para América Latina. Congreso de la Red Colombiana de Actividad Física REDCOLAF 4 y 5 de noviembre. Certificado por REDCO"&amp;"LAF.  I-Talent 3.0: El Mundo del Trabajo y el Metaverso (innovación, tecnología y talento humano) 16 al 19 de noviembre de 2022. Certificado por ACRIP Región Central.
Espacios Municipales y departamentales para la Construccion de la politica publica del d"&amp;"eporte y la recreacion DRAEF, 2023 - 2035 Evidencias  https://drive.google.com/drive/folders/1DtS3-5rVYNQ1dbLEskNJfGtaDLcsDEfn    -------- Desde la Secretaría de Tecnologías de la Información y la Comunicación, se llevo a cabo el Foro Ciudades Modernas, I"&amp;"nteligentes y para la gente, el  25 de octubre de 2022 en Pereira Risaralda. Evidencias: https://drive.google.com/drive/folders/1P2pomJg38UOIwGwxwViB9igw4EKk-qiy?usp=share_link 
")</f>
        <v xml:space="preserve">CICLO DE CAPACITACIONES Abril 23 al 28 de mayo DE 2022. Certificado por INCOBIDA. CURSO VIRTUAL TEÓRICO PRÁCTICO DE ACTIVIDAD FÍSICA DIRIGIDA MUSICALIZADO 19 AL 31 de agosto de 2022. Certificado por el Ministerio del Deporte. Encuentro de Refuerzo de Actividad Física Dirigida Musicalizada 5 al 7 de septiembre en la ciudad de Armenia. Certificado por el Ministerio del Deporte. XI Curso de Políticas y Programas para la Promoción de Hábitos y Estilos de Vida Saludable 26 y 27 de octubre de 2022. Certificado por el Ministerio del Deporte. Curso EXERCISE IS MEDICINE 03 de noviembre. Certificado por El Centro Regional de EXERCISE IS MEDICINE para América Latina. Congreso de la Red Colombiana de Actividad Física REDCOLAF 4 y 5 de noviembre. Certificado por REDCOLAF.  I-Talent 3.0: El Mundo del Trabajo y el Metaverso (innovación, tecnología y talento humano) 16 al 19 de noviembre de 2022. Certificado por ACRIP Región Central.
Espacios Municipales y departamentales para la Construccion de la politica publica del deporte y la recreacion DRAEF, 2023 - 2035 Evidencias  https://drive.google.com/drive/folders/1DtS3-5rVYNQ1dbLEskNJfGtaDLcsDEfn    -------- Desde la Secretaría de Tecnologías de la Información y la Comunicación, se llevo a cabo el Foro Ciudades Modernas, Inteligentes y para la gente, el  25 de octubre de 2022 en Pereira Risaralda. Evidencias: https://drive.google.com/drive/folders/1P2pomJg38UOIwGwxwViB9igw4EKk-qiy?usp=share_link 
</v>
      </c>
      <c r="T88" s="11">
        <f ca="1">IFERROR(__xludf.DUMMYFUNCTION("""COMPUTED_VALUE"""),44925)</f>
        <v>44925</v>
      </c>
      <c r="U88" s="10" t="str">
        <f ca="1">IFERROR(__xludf.DUMMYFUNCTION("""COMPUTED_VALUE"""),"Medicion del Indicador 1 evento organizado Secretaría de Tecnologías de la Información y la Comunicación")</f>
        <v>Medicion del Indicador 1 evento organizado Secretaría de Tecnologías de la Información y la Comunicación</v>
      </c>
    </row>
    <row r="89" spans="1:21" ht="37.5" customHeight="1" x14ac:dyDescent="0.2">
      <c r="A89" s="10" t="str">
        <f ca="1">IFERROR(__xludf.DUMMYFUNCTION("""COMPUTED_VALUE"""),"Gestión del Conocimiento y la Innovación")</f>
        <v>Gestión del Conocimiento y la Innovación</v>
      </c>
      <c r="B89" s="10" t="str">
        <f ca="1">IFERROR(__xludf.DUMMYFUNCTION("""COMPUTED_VALUE"""),"Gestión del Conocimiento y la Innovación")</f>
        <v>Gestión del Conocimiento y la Innovación</v>
      </c>
      <c r="C89" s="10" t="str">
        <f ca="1">IFERROR(__xludf.DUMMYFUNCTION("""COMPUTED_VALUE"""),"Identificar y evaluar el estado de funcionamiento de las herramientas de uso y apropiación del conocimiento.")</f>
        <v>Identificar y evaluar el estado de funcionamiento de las herramientas de uso y apropiación del conocimiento.</v>
      </c>
      <c r="D89" s="10" t="str">
        <f ca="1">IFERROR(__xludf.DUMMYFUNCTION("""COMPUTED_VALUE"""),"Evaluar el estado de funcionamiento de sus herramientas para uso y apropiación del conocimiento permanentemente y llevar a cabo acciones de mejora.")</f>
        <v>Evaluar el estado de funcionamiento de sus herramientas para uso y apropiación del conocimiento permanentemente y llevar a cabo acciones de mejora.</v>
      </c>
      <c r="E89" s="10" t="str">
        <f ca="1">IFERROR(__xludf.DUMMYFUNCTION("""COMPUTED_VALUE"""),"No. de herramientas utilizadas para uso y apropiación del conocimiento efectivas /No. de herramientas utilizadas para uso y apropiación del conocimiento")</f>
        <v>No. de herramientas utilizadas para uso y apropiación del conocimiento efectivas /No. de herramientas utilizadas para uso y apropiación del conocimiento</v>
      </c>
      <c r="F89" s="11">
        <f ca="1">IFERROR(__xludf.DUMMYFUNCTION("""COMPUTED_VALUE"""),44588)</f>
        <v>44588</v>
      </c>
      <c r="G89" s="11">
        <f ca="1">IFERROR(__xludf.DUMMYFUNCTION("""COMPUTED_VALUE"""),44925)</f>
        <v>44925</v>
      </c>
      <c r="H89" s="10" t="str">
        <f ca="1">IFERROR(__xludf.DUMMYFUNCTION("""COMPUTED_VALUE"""),"Dirección Administrativa de Talento Humano -Transversal con las demás Secretarias de la Entidad")</f>
        <v>Dirección Administrativa de Talento Humano -Transversal con las demás Secretarias de la Entidad</v>
      </c>
      <c r="I89" s="12">
        <f ca="1">IFERROR(__xludf.DUMMYFUNCTION("""COMPUTED_VALUE"""),0.65)</f>
        <v>0.65</v>
      </c>
      <c r="J89" s="10" t="str">
        <f ca="1">IFERROR(__xludf.DUMMYFUNCTION("""COMPUTED_VALUE"""),"Para el corte 01 de enero  al 31 de Marzo  de 2022 , Desde la Secretaría de Tecnologías de la Información y la Comunicación, La Alcaldía de Pereira, cuenta con las siguientes herramientas tecnológicas en funcionamiento, que aportan a la difusión y disponi"&amp;"bilidad de la información de la entidad, como elementos de la gestión de conocimiento:
• Portal Web – Sede electrónica: http://www.pereira.gov.co/
• Intranet: http://172.23.50.11:8080/siprojweb2/
• MIN: http://min.pereira.gov.co/
• Aplicativo SIIFWEB.
• A"&amp;"ctos Administrativos en el aplicativo SIIFWEB. _________________________Para el corte del 01 de Enero  al 31  de Marzo  de 2022 , La Secretaría de DEPORTE Y RECREACIÓN: Permanentemente se realiza revision de el sistema DIOGENES, el data estudio y los dema"&amp;"s bases de datos que se tiene para la gestion del conocimento . a la fecha estan actualizadas y funcionando al 100%")</f>
        <v>Para el corte 01 de enero  al 31 de Marzo  de 2022 , Desde la Secretaría de Tecnologías de la Información y la Comunicación, La Alcaldía de Pereira, cuenta con las siguientes herramientas tecnológicas en funcionamiento, que aportan a la difusión y disponibilidad de la información de la entidad, como elementos de la gestión de conocimiento:
• Portal Web – Sede electrónica: http://www.pereira.gov.co/
• Intranet: http://172.23.50.11:8080/siprojweb2/
• MIN: http://min.pereira.gov.co/
• Aplicativo SIIFWEB.
• Actos Administrativos en el aplicativo SIIFWEB. _________________________Para el corte del 01 de Enero  al 31  de Marzo  de 2022 , La Secretaría de DEPORTE Y RECREACIÓN: Permanentemente se realiza revision de el sistema DIOGENES, el data estudio y los demas bases de datos que se tiene para la gestion del conocimento . a la fecha estan actualizadas y funcionando al 100%</v>
      </c>
      <c r="K89" s="11">
        <f ca="1">IFERROR(__xludf.DUMMYFUNCTION("""COMPUTED_VALUE"""),44650)</f>
        <v>44650</v>
      </c>
      <c r="L89" s="12">
        <f ca="1">IFERROR(__xludf.DUMMYFUNCTION("""COMPUTED_VALUE"""),0.66)</f>
        <v>0.66</v>
      </c>
      <c r="M89" s="10" t="str">
        <f ca="1">IFERROR(__xludf.DUMMYFUNCTION("""COMPUTED_VALUE"""),"""Para la Vigencia del 01 de Abril al 30 de Junio de 2022, La Alcaldía de Pereira, cuenta con las siguientes herramientas tecnológicas en funcionamiento, que aportan a la difusión y disponibilidad de la información de la entidad, como elementos de la gest"&amp;"ión de conocimiento:
• Portal Web – Sede electrónica: http://www.pereira.gov.co/
• Intranet: http://172.23.50.11:8080/siprojweb2/
• MIN: http://min.pereira.gov.co/
• Aplicativo SIIFWEB.
• Actos Administrativos en el aplicativo SIIFWEB.
http://siifweb.pere"&amp;"ira.gov.co:9090/siifweb/comun/jsp/login.jsp""
")</f>
        <v xml:space="preserve">"Para la Vigencia del 01 de Abril al 30 de Junio de 2022, La Alcaldía de Pereira, cuenta con las siguientes herramientas tecnológicas en funcionamiento, que aportan a la difusión y disponibilidad de la información de la entidad, como elementos de la gestión de conocimiento:
• Portal Web – Sede electrónica: http://www.pereira.gov.co/
• Intranet: http://172.23.50.11:8080/siprojweb2/
• MIN: http://min.pereira.gov.co/
• Aplicativo SIIFWEB.
• Actos Administrativos en el aplicativo SIIFWEB.
http://siifweb.pereira.gov.co:9090/siifweb/comun/jsp/login.jsp"
</v>
      </c>
      <c r="N89" s="11">
        <f ca="1">IFERROR(__xludf.DUMMYFUNCTION("""COMPUTED_VALUE"""),44742)</f>
        <v>44742</v>
      </c>
      <c r="O89" s="12">
        <f ca="1">IFERROR(__xludf.DUMMYFUNCTION("""COMPUTED_VALUE"""),0.7)</f>
        <v>0.7</v>
      </c>
      <c r="P89" s="10" t="str">
        <f ca="1">IFERROR(__xludf.DUMMYFUNCTION("""COMPUTED_VALUE"""),"La Alcaldía de Pereira, cuenta con las siguientes herramientas tecnológicas en funcionamiento, que aportan a la difusión y disponibilidad de la información de la entidad, como elementos de la gestión de conocimiento:
•	Portal Web – Sede electrónica: http"&amp;"://www.pereira.gov.co/
•	Intranet: http://172.23.50.11:8080/siprojweb2/
•	MIN: http://min.pereira.gov.co/
•	Aplicativo SIIFWEB.
•	Actos Administrativos en el aplicativo SIIFWEB.")</f>
        <v>La Alcaldía de Pereira, cuenta con las siguientes herramientas tecnológicas en funcionamiento, que aportan a la difusión y disponibilidad de la información de la entidad, como elementos de la gestión de conocimiento:
•	Portal Web – Sede electrónica: http://www.pereira.gov.co/
•	Intranet: http://172.23.50.11:8080/siprojweb2/
•	MIN: http://min.pereira.gov.co/
•	Aplicativo SIIFWEB.
•	Actos Administrativos en el aplicativo SIIFWEB.</v>
      </c>
      <c r="Q89" s="11"/>
      <c r="R89" s="12">
        <f ca="1">IFERROR(__xludf.DUMMYFUNCTION("""COMPUTED_VALUE"""),0.85)</f>
        <v>0.85</v>
      </c>
      <c r="S89" s="10" t="str">
        <f ca="1">IFERROR(__xludf.DUMMYFUNCTION("""COMPUTED_VALUE"""),"Desde la secretaria d edeportes se han implemnetados el Sistema Diogenes, la aplicación Data estudio la cual consolidación de la información arrojada por Diogenes, las Herramientas y plataformas del DNP para formular proyectos y en la participacón ciudada"&amp;"na se han implementado las metodologias de coffee work y mesas de trabajo para la formulación de Política pública  Evidencias  https://drive.google.com/drive/folders/1FZqWTsY1QVPBEzPG66ifkMCwTztbbJV6 
https://datastudio.google.com/u/0/reporting/bf01f1d9-8"&amp;"246-4c7c-a032-887ff5018f28/page/mLyo   https://sistemadiogenes.com/    ---------Desde la Política de Gobierno Digital liderada por la Secretaría de Tecnologías de la Información y la Comunicación, se realiza el soporte y se asegura el funcionamiento de lo"&amp;"s sistemas de información transversales para el desarrollo de los procesos de la entidad.
La Alcaldía de Pereira, cuenta con las siguientes herramientas tecnológicas en funcionamiento, que aportan a la difusión y disponibilidad de la información de la en"&amp;"tidad, como elementos de la gestión de conocimiento:
•        Portal Web – Sede Electrónica: http://www.pereira.gov.co/
•        Intranet: http://intranet.pereira.gov.co/
•        MIN: http://min.pereira.gov.co/
•        Aplicativo SIIFWEB: http://siifweb"&amp;".pereira.gov.co:7778/siifweb/comun/m/jsp/login.jsp
")</f>
        <v xml:space="preserve">Desde la secretaria d edeportes se han implemnetados el Sistema Diogenes, la aplicación Data estudio la cual consolidación de la información arrojada por Diogenes, las Herramientas y plataformas del DNP para formular proyectos y en la participacón ciudadana se han implementado las metodologias de coffee work y mesas de trabajo para la formulación de Política pública  Evidencias  https://drive.google.com/drive/folders/1FZqWTsY1QVPBEzPG66ifkMCwTztbbJV6 
https://datastudio.google.com/u/0/reporting/bf01f1d9-8246-4c7c-a032-887ff5018f28/page/mLyo   https://sistemadiogenes.com/    ---------Desde la Política de Gobierno Digital liderada por la Secretaría de Tecnologías de la Información y la Comunicación, se realiza el soporte y se asegura el funcionamiento de los sistemas de información transversales para el desarrollo de los procesos de la entidad.
La Alcaldía de Pereira, cuenta con las siguientes herramientas tecnológicas en funcionamiento, que aportan a la difusión y disponibilidad de la información de la entidad, como elementos de la gestión de conocimiento:
•        Portal Web – Sede Electrónica: http://www.pereira.gov.co/
•        Intranet: http://intranet.pereira.gov.co/
•        MIN: http://min.pereira.gov.co/
•        Aplicativo SIIFWEB: http://siifweb.pereira.gov.co:7778/siifweb/comun/m/jsp/login.jsp
</v>
      </c>
      <c r="T89" s="11">
        <f ca="1">IFERROR(__xludf.DUMMYFUNCTION("""COMPUTED_VALUE"""),44925)</f>
        <v>44925</v>
      </c>
      <c r="U89" s="10" t="str">
        <f ca="1">IFERROR(__xludf.DUMMYFUNCTION("""COMPUTED_VALUE"""),"Medicion del Indicador Herramientas en funcionamiento")</f>
        <v>Medicion del Indicador Herramientas en funcionamiento</v>
      </c>
    </row>
    <row r="90" spans="1:21" ht="37.5" customHeight="1" x14ac:dyDescent="0.2">
      <c r="A90" s="10" t="str">
        <f ca="1">IFERROR(__xludf.DUMMYFUNCTION("""COMPUTED_VALUE"""),"Gestión del Conocimiento y la Innovación")</f>
        <v>Gestión del Conocimiento y la Innovación</v>
      </c>
      <c r="B90" s="10" t="str">
        <f ca="1">IFERROR(__xludf.DUMMYFUNCTION("""COMPUTED_VALUE"""),"Gestión del Conocimiento y la Innovación")</f>
        <v>Gestión del Conocimiento y la Innovación</v>
      </c>
      <c r="C90" s="10" t="str">
        <f ca="1">IFERROR(__xludf.DUMMYFUNCTION("""COMPUTED_VALUE"""),"Identificar, clasificar y actualizar el conocimiento tácito para la planeación del conocimiento requerido por la entidad.")</f>
        <v>Identificar, clasificar y actualizar el conocimiento tácito para la planeación del conocimiento requerido por la entidad.</v>
      </c>
      <c r="D90" s="10" t="str">
        <f ca="1">IFERROR(__xludf.DUMMYFUNCTION("""COMPUTED_VALUE"""),"Clasificar y actualizar el conocimiento tácito para la planeación del conocimiento requerido por la entidad.")</f>
        <v>Clasificar y actualizar el conocimiento tácito para la planeación del conocimiento requerido por la entidad.</v>
      </c>
      <c r="E90" s="10" t="str">
        <f ca="1">IFERROR(__xludf.DUMMYFUNCTION("""COMPUTED_VALUE"""),"Información clasificada y actualizada periódicamente del conocimiento tácito para la planeación requerido por la entidad.")</f>
        <v>Información clasificada y actualizada periódicamente del conocimiento tácito para la planeación requerido por la entidad.</v>
      </c>
      <c r="F90" s="11">
        <f ca="1">IFERROR(__xludf.DUMMYFUNCTION("""COMPUTED_VALUE"""),44588)</f>
        <v>44588</v>
      </c>
      <c r="G90" s="11">
        <f ca="1">IFERROR(__xludf.DUMMYFUNCTION("""COMPUTED_VALUE"""),44925)</f>
        <v>44925</v>
      </c>
      <c r="H90" s="10" t="str">
        <f ca="1">IFERROR(__xludf.DUMMYFUNCTION("""COMPUTED_VALUE"""),"Dirección Administrativa de Talento Humano -Transversal con las demás Secretarias de la Entidad")</f>
        <v>Dirección Administrativa de Talento Humano -Transversal con las demás Secretarias de la Entidad</v>
      </c>
      <c r="I90" s="12">
        <f ca="1">IFERROR(__xludf.DUMMYFUNCTION("""COMPUTED_VALUE"""),0.61)</f>
        <v>0.61</v>
      </c>
      <c r="J90" s="10" t="str">
        <f ca="1">IFERROR(__xludf.DUMMYFUNCTION("""COMPUTED_VALUE"""),"Para el corte del 01 de Enero  al 31  de Marzo  de 2022 , La Secretaría de DEPORTE Y RECREACIÓN:   a traves de las herramientas de gestion del conocimiento como el DATA STUDIO, DIOGENES  Y BASES DE DATOS)  se mantenienen permanentemente identificando  y a"&amp;"ctualizando la informacion y el conocimiento que se requieren para la prestacion del servicio.")</f>
        <v>Para el corte del 01 de Enero  al 31  de Marzo  de 2022 , La Secretaría de DEPORTE Y RECREACIÓN:   a traves de las herramientas de gestion del conocimiento como el DATA STUDIO, DIOGENES  Y BASES DE DATOS)  se mantenienen permanentemente identificando  y actualizando la informacion y el conocimiento que se requieren para la prestacion del servicio.</v>
      </c>
      <c r="K90" s="11">
        <f ca="1">IFERROR(__xludf.DUMMYFUNCTION("""COMPUTED_VALUE"""),44650)</f>
        <v>44650</v>
      </c>
      <c r="L90" s="12">
        <f ca="1">IFERROR(__xludf.DUMMYFUNCTION("""COMPUTED_VALUE"""),0.61)</f>
        <v>0.61</v>
      </c>
      <c r="M90" s="10" t="str">
        <f ca="1">IFERROR(__xludf.DUMMYFUNCTION("""COMPUTED_VALUE"""),"Para el corte del 01 de Enero  al 31  de Marzo  de 2022 , La Secretaría de DEPORTE Y RECREACIÓN:   a traves de las herramientas de gestion del conocimiento como el DATA STUDIO, DIOGENES  Y BASES DE DATOS)  se mantenienen permanentemente identificando  y a"&amp;"ctualizando la informacion y el conocimiento que se requieren para la prestacion del servicio.
")</f>
        <v xml:space="preserve">Para el corte del 01 de Enero  al 31  de Marzo  de 2022 , La Secretaría de DEPORTE Y RECREACIÓN:   a traves de las herramientas de gestion del conocimiento como el DATA STUDIO, DIOGENES  Y BASES DE DATOS)  se mantenienen permanentemente identificando  y actualizando la informacion y el conocimiento que se requieren para la prestacion del servicio.
</v>
      </c>
      <c r="N90" s="11">
        <f ca="1">IFERROR(__xludf.DUMMYFUNCTION("""COMPUTED_VALUE"""),44742)</f>
        <v>44742</v>
      </c>
      <c r="O90" s="12">
        <f ca="1">IFERROR(__xludf.DUMMYFUNCTION("""COMPUTED_VALUE"""),0.61)</f>
        <v>0.61</v>
      </c>
      <c r="P90" s="10" t="str">
        <f ca="1">IFERROR(__xludf.DUMMYFUNCTION("""COMPUTED_VALUE"""),"Este tercer  trimestre no hubo avance, este porcentaje de avance reflejado corresponde a al segundo seguimiento ")</f>
        <v xml:space="preserve">Este tercer  trimestre no hubo avance, este porcentaje de avance reflejado corresponde a al segundo seguimiento </v>
      </c>
      <c r="Q90" s="11">
        <f ca="1">IFERROR(__xludf.DUMMYFUNCTION("""COMPUTED_VALUE"""),44834)</f>
        <v>44834</v>
      </c>
      <c r="R90" s="12">
        <f ca="1">IFERROR(__xludf.DUMMYFUNCTION("""COMPUTED_VALUE"""),0.83)</f>
        <v>0.83</v>
      </c>
      <c r="S90" s="10" t="str">
        <f ca="1">IFERROR(__xludf.DUMMYFUNCTION("""COMPUTED_VALUE"""),"Desde a secretari de deporte se crea el programa MÁS DEPORTE, MÁS TALENTO, orientado a deportistas con proyección hacia la obtención de altos logros en deportes individuales y de conjunto del sector convencional y paralímpico en el municipio de Pereira, e"&amp;"l  Programa Más Deporte, Más Talento, está concebido como un programa por medio cual se realiza el proceso de apoyo, atención integral y acompañamiento a los atletas que proyecten u obtengan altos logros en alguna disciplina deportiva, en representación a"&amp;" nivel nacional e internacional del Municipio de Pereira, posicionando a Pereira como una potencia deportiva. Evidencias    https://drive.google.com/drive/folders/1m1S6CPhizl1-I9OZIYYzXSmrf_1jkhO6 https://drive.google.com/drive/folders/1m1S6CPhizl1-I9OZIY"&amp;"YzXSmrf_1jkhO6         ")</f>
        <v xml:space="preserve">Desde a secretari de deporte se crea el programa MÁS DEPORTE, MÁS TALENTO, orientado a deportistas con proyección hacia la obtención de altos logros en deportes individuales y de conjunto del sector convencional y paralímpico en el municipio de Pereira, el  Programa Más Deporte, Más Talento, está concebido como un programa por medio cual se realiza el proceso de apoyo, atención integral y acompañamiento a los atletas que proyecten u obtengan altos logros en alguna disciplina deportiva, en representación a nivel nacional e internacional del Municipio de Pereira, posicionando a Pereira como una potencia deportiva. Evidencias    https://drive.google.com/drive/folders/1m1S6CPhizl1-I9OZIYYzXSmrf_1jkhO6 https://drive.google.com/drive/folders/1m1S6CPhizl1-I9OZIYYzXSmrf_1jkhO6         </v>
      </c>
      <c r="T90" s="11">
        <f ca="1">IFERROR(__xludf.DUMMYFUNCTION("""COMPUTED_VALUE"""),44925)</f>
        <v>44925</v>
      </c>
      <c r="U90" s="10"/>
    </row>
    <row r="91" spans="1:21" ht="37.5" customHeight="1" x14ac:dyDescent="0.2">
      <c r="A91" s="10" t="str">
        <f ca="1">IFERROR(__xludf.DUMMYFUNCTION("""COMPUTED_VALUE"""),"Gestión del Conocimiento y la Innovación")</f>
        <v>Gestión del Conocimiento y la Innovación</v>
      </c>
      <c r="B91" s="10" t="str">
        <f ca="1">IFERROR(__xludf.DUMMYFUNCTION("""COMPUTED_VALUE"""),"Gestión del Conocimiento y la Innovación")</f>
        <v>Gestión del Conocimiento y la Innovación</v>
      </c>
      <c r="C91" s="10" t="str">
        <f ca="1">IFERROR(__xludf.DUMMYFUNCTION("""COMPUTED_VALUE"""),"Priorizar las necesidades de tecnología para la gestión del conocimiento y la innovación en la entidad, contar con acciones a corto, mediano y largo plazo para su adecuada gestión y evaluarlas periódicamente.")</f>
        <v>Priorizar las necesidades de tecnología para la gestión del conocimiento y la innovación en la entidad, contar con acciones a corto, mediano y largo plazo para su adecuada gestión y evaluarlas periódicamente.</v>
      </c>
      <c r="D91" s="10" t="str">
        <f ca="1">IFERROR(__xludf.DUMMYFUNCTION("""COMPUTED_VALUE"""),"Identificar las necesidades de tecnología para la gestión del conocimiento y la innovación en la entidad.")</f>
        <v>Identificar las necesidades de tecnología para la gestión del conocimiento y la innovación en la entidad.</v>
      </c>
      <c r="E91" s="10" t="str">
        <f ca="1">IFERROR(__xludf.DUMMYFUNCTION("""COMPUTED_VALUE"""),"No. Necesidades de tecnología priorizadas /No. Necesidades de tecnología programadas")</f>
        <v>No. Necesidades de tecnología priorizadas /No. Necesidades de tecnología programadas</v>
      </c>
      <c r="F91" s="11">
        <f ca="1">IFERROR(__xludf.DUMMYFUNCTION("""COMPUTED_VALUE"""),44223)</f>
        <v>44223</v>
      </c>
      <c r="G91" s="11">
        <f ca="1">IFERROR(__xludf.DUMMYFUNCTION("""COMPUTED_VALUE"""),44925)</f>
        <v>44925</v>
      </c>
      <c r="H91" s="10" t="str">
        <f ca="1">IFERROR(__xludf.DUMMYFUNCTION("""COMPUTED_VALUE"""),"Dirección Administrativa de Talento Humano -Transversal con las demás Secretarias de la Entidad")</f>
        <v>Dirección Administrativa de Talento Humano -Transversal con las demás Secretarias de la Entidad</v>
      </c>
      <c r="I91" s="12">
        <f ca="1">IFERROR(__xludf.DUMMYFUNCTION("""COMPUTED_VALUE"""),0.65)</f>
        <v>0.65</v>
      </c>
      <c r="J91" s="10" t="str">
        <f ca="1">IFERROR(__xludf.DUMMYFUNCTION("""COMPUTED_VALUE"""),"Para el corte del 01 de Enero  al 31  de Marzo  de 2022 , La Secretaría de Salud , Propuesta solicitada y recibida por parte de un proveedor, para considerarla en el presupuesto del proximo año. La propuesta es para la modernización de captura de informac"&amp;"ión y seguimiento del área de vigilancia  y  control ambiental,_____________________Para el corte del 01 de Enero  al 31  de Marzo  de 2022 , La Secretaría de DEPORTE Y RECREACIÓN:: a la fecha aún no se han hecho la compra de los  equipos requeridos por l"&amp;"a entidad y especificamente para la gestion del conocimiento.")</f>
        <v>Para el corte del 01 de Enero  al 31  de Marzo  de 2022 , La Secretaría de Salud , Propuesta solicitada y recibida por parte de un proveedor, para considerarla en el presupuesto del proximo año. La propuesta es para la modernización de captura de información y seguimiento del área de vigilancia  y  control ambiental,_____________________Para el corte del 01 de Enero  al 31  de Marzo  de 2022 , La Secretaría de DEPORTE Y RECREACIÓN:: a la fecha aún no se han hecho la compra de los  equipos requeridos por la entidad y especificamente para la gestion del conocimiento.</v>
      </c>
      <c r="K91" s="11">
        <f ca="1">IFERROR(__xludf.DUMMYFUNCTION("""COMPUTED_VALUE"""),44650)</f>
        <v>44650</v>
      </c>
      <c r="L91" s="12">
        <f ca="1">IFERROR(__xludf.DUMMYFUNCTION("""COMPUTED_VALUE"""),0.66)</f>
        <v>0.66</v>
      </c>
      <c r="M91" s="10" t="str">
        <f ca="1">IFERROR(__xludf.DUMMYFUNCTION("""COMPUTED_VALUE"""),"Para la Vigencia del 01 de Abril al 30 de Junio de 2022,Desde la Secretaría de Tecnologías de la Información y la Comunicación, se adelantan acciones para proporcionar herramientas tecnológicas que contribuyan a la innovación y mejora de los procesos en l"&amp;"a Alcaldía:
• Publicación de información en el Portal web institucional y sede electrónica 
• Intranet Institucional como canal de comunicación.
• Soporte y administración de la plataforma MIN.
• Soporte al Aplicativo SIIFWEB y el Módulo Precontractual.
"&amp;"• Soporte al Módulo de Actos Administrativos en el aplicativo SIIFWEB.
• Soporte al Módulo de inspecciones y corregidurías.  ")</f>
        <v xml:space="preserve">Para la Vigencia del 01 de Abril al 30 de Junio de 2022,Desde la Secretaría de Tecnologías de la Información y la Comunicación, se adelantan acciones para proporcionar herramientas tecnológicas que contribuyan a la innovación y mejora de los procesos en la Alcaldía:
• Publicación de información en el Portal web institucional y sede electrónica 
• Intranet Institucional como canal de comunicación.
• Soporte y administración de la plataforma MIN.
• Soporte al Aplicativo SIIFWEB y el Módulo Precontractual.
• Soporte al Módulo de Actos Administrativos en el aplicativo SIIFWEB.
• Soporte al Módulo de inspecciones y corregidurías.  </v>
      </c>
      <c r="N91" s="11">
        <f ca="1">IFERROR(__xludf.DUMMYFUNCTION("""COMPUTED_VALUE"""),44742)</f>
        <v>44742</v>
      </c>
      <c r="O91" s="12">
        <f ca="1">IFERROR(__xludf.DUMMYFUNCTION("""COMPUTED_VALUE"""),0.66)</f>
        <v>0.66</v>
      </c>
      <c r="P91" s="10" t="str">
        <f ca="1">IFERROR(__xludf.DUMMYFUNCTION("""COMPUTED_VALUE"""),"Desde la Secretaría de Tecnologías de la Información y la Comunicación, se adelantan acciones para proporcionar herramientas tecnológicas que contribuyan a la innovación y mejora de los procesos en la Alcaldía:
•	Publicación de información en el Portal"&amp;" web institucional y sede electrónica 
•	Intranet Institucional como canal de comunicación.
•	Soporte y administración de la plataforma MIN.
•	Soporte al Aplicativo SIIFWEB y el Módulo Precontractual.
•	Soporte al Módulo de Actos Administrativos en el"&amp;" aplicativo SIIFWEB.
•	Soporte al Módulo de inspecciones y corregidurías.
•App ""Gobierno de la Ciudad Pereira"" como plataforma para acceso a diferentes tramites. 
 ")</f>
        <v xml:space="preserve">Desde la Secretaría de Tecnologías de la Información y la Comunicación, se adelantan acciones para proporcionar herramientas tecnológicas que contribuyan a la innovación y mejora de los procesos en la Alcaldía:
•	Publicación de información en el Portal web institucional y sede electrónica 
•	Intranet Institucional como canal de comunicación.
•	Soporte y administración de la plataforma MIN.
•	Soporte al Aplicativo SIIFWEB y el Módulo Precontractual.
•	Soporte al Módulo de Actos Administrativos en el aplicativo SIIFWEB.
•	Soporte al Módulo de inspecciones y corregidurías.
•App "Gobierno de la Ciudad Pereira" como plataforma para acceso a diferentes tramites. 
 </v>
      </c>
      <c r="Q91" s="11">
        <f ca="1">IFERROR(__xludf.DUMMYFUNCTION("""COMPUTED_VALUE"""),44834)</f>
        <v>44834</v>
      </c>
      <c r="R91" s="12">
        <f ca="1">IFERROR(__xludf.DUMMYFUNCTION("""COMPUTED_VALUE"""),0.87)</f>
        <v>0.87</v>
      </c>
      <c r="S91" s="10" t="str">
        <f ca="1">IFERROR(__xludf.DUMMYFUNCTION("""COMPUTED_VALUE"""),"Desde la Secretaria d edeporte se tienen identificadoa la necesiddad de sistemas tecnológicos para el conteo de usarios d elas vias activas, el uso d elso escenarios deprotivos y la atualizacion de la aplicación APPTIVATE además de requerirse  la prioriza"&amp;"ción y la aplicación de software, poner en funcionamiento la aplicación APP Tivate  Evidencias   https://drive.google.com/drive/folders/1YjqukGFqOfR0lV1lyGkY0rKl_Ovk_HC2  ----Desde la Secretaria de Desarrollo Social y politico se  requeire  sistemas de in"&amp;"fomacion, mas canales de comunicacion con cara a la comunidad, tableros electronicos de información, computadores con sofware avanzados, espacio en la pagina web de la alcaldia para publicar los informes de gestion de la secretaria. -------Desde la Secret"&amp;"aría de Tecnologías de la Información y la Comunicación, se proyecta la continuidad en el funcionamiento y soporte de los aplicativos, mediante la inclusión de actividades relacionadas en los Planes de Acción.  Evidencia: https://www.pereira.gov.co/docume"&amp;"ntos/939/planes-de-accion-2022/?genPagDocs=3-----En estos momentos la Dirección de Gestión del Riesgo se encuentra en el proceso de implementación de una app para realizar la atención de las emergencias, y de igual manera la caracterización de la població"&amp;"n atendida en ellas. Posteriormente, luego de iniciar con el proceso después de estar seguros de su correcto funcionamiento, se realizarán las respectivas evaluaciones al proceso.--------La Secretaría de Gobierno para la vigencia 2022 puso en marcha la cr"&amp;"eación de un nuevo módulo en la plataforma SIIFWEB para todos los procesos llevados a cabo de las inspecciones y corregidurías del municipio. Dicho módulo se encuentra en su fase final y será implementado a partir del 02 de enero del 2023.")</f>
        <v>Desde la Secretaria d edeporte se tienen identificadoa la necesiddad de sistemas tecnológicos para el conteo de usarios d elas vias activas, el uso d elso escenarios deprotivos y la atualizacion de la aplicación APPTIVATE además de requerirse  la priorización y la aplicación de software, poner en funcionamiento la aplicación APP Tivate  Evidencias   https://drive.google.com/drive/folders/1YjqukGFqOfR0lV1lyGkY0rKl_Ovk_HC2  ----Desde la Secretaria de Desarrollo Social y politico se  requeire  sistemas de infomacion, mas canales de comunicacion con cara a la comunidad, tableros electronicos de información, computadores con sofware avanzados, espacio en la pagina web de la alcaldia para publicar los informes de gestion de la secretaria. -------Desde la Secretaría de Tecnologías de la Información y la Comunicación, se proyecta la continuidad en el funcionamiento y soporte de los aplicativos, mediante la inclusión de actividades relacionadas en los Planes de Acción.  Evidencia: https://www.pereira.gov.co/documentos/939/planes-de-accion-2022/?genPagDocs=3-----En estos momentos la Dirección de Gestión del Riesgo se encuentra en el proceso de implementación de una app para realizar la atención de las emergencias, y de igual manera la caracterización de la población atendida en ellas. Posteriormente, luego de iniciar con el proceso después de estar seguros de su correcto funcionamiento, se realizarán las respectivas evaluaciones al proceso.--------La Secretaría de Gobierno para la vigencia 2022 puso en marcha la creación de un nuevo módulo en la plataforma SIIFWEB para todos los procesos llevados a cabo de las inspecciones y corregidurías del municipio. Dicho módulo se encuentra en su fase final y será implementado a partir del 02 de enero del 2023.</v>
      </c>
      <c r="T91" s="11">
        <f ca="1">IFERROR(__xludf.DUMMYFUNCTION("""COMPUTED_VALUE"""),44925)</f>
        <v>44925</v>
      </c>
      <c r="U91" s="10" t="str">
        <f ca="1">IFERROR(__xludf.DUMMYFUNCTION("""COMPUTED_VALUE"""),"Medicion del Indicador Planes de acción Tecnologías de la Información y la Comunicación")</f>
        <v>Medicion del Indicador Planes de acción Tecnologías de la Información y la Comunicación</v>
      </c>
    </row>
    <row r="92" spans="1:21" ht="37.5" customHeight="1" x14ac:dyDescent="0.2">
      <c r="A92" s="10" t="str">
        <f ca="1">IFERROR(__xludf.DUMMYFUNCTION("""COMPUTED_VALUE"""),"Gestión del Conocimiento y la Innovación")</f>
        <v>Gestión del Conocimiento y la Innovación</v>
      </c>
      <c r="B92" s="10" t="str">
        <f ca="1">IFERROR(__xludf.DUMMYFUNCTION("""COMPUTED_VALUE"""),"Gestión del Conocimiento y la Innovación")</f>
        <v>Gestión del Conocimiento y la Innovación</v>
      </c>
      <c r="C92" s="10" t="str">
        <f ca="1">IFERROR(__xludf.DUMMYFUNCTION("""COMPUTED_VALUE"""),"Contar con repositorios de conocimiento de fácil acceso y socializados al interior de la entidad.")</f>
        <v>Contar con repositorios de conocimiento de fácil acceso y socializados al interior de la entidad.</v>
      </c>
      <c r="D92" s="10" t="str">
        <f ca="1">IFERROR(__xludf.DUMMYFUNCTION("""COMPUTED_VALUE"""),"Documentación de la memoria institucional de acuerdo con lineamientos establecidos en la entidad, es de fácil acceso para sus grupos de valor y ha sido divulgada a través de medios físicos y/o digitales.")</f>
        <v>Documentación de la memoria institucional de acuerdo con lineamientos establecidos en la entidad, es de fácil acceso para sus grupos de valor y ha sido divulgada a través de medios físicos y/o digitales.</v>
      </c>
      <c r="E92" s="10" t="str">
        <f ca="1">IFERROR(__xludf.DUMMYFUNCTION("""COMPUTED_VALUE"""),"No. De repositorios identificados/No. De repositorios implementados")</f>
        <v>No. De repositorios identificados/No. De repositorios implementados</v>
      </c>
      <c r="F92" s="11">
        <f ca="1">IFERROR(__xludf.DUMMYFUNCTION("""COMPUTED_VALUE"""),44588)</f>
        <v>44588</v>
      </c>
      <c r="G92" s="11">
        <f ca="1">IFERROR(__xludf.DUMMYFUNCTION("""COMPUTED_VALUE"""),44925)</f>
        <v>44925</v>
      </c>
      <c r="H92" s="10" t="str">
        <f ca="1">IFERROR(__xludf.DUMMYFUNCTION("""COMPUTED_VALUE"""),"Dirección Administrativa de Talento Humano -Transversal con las demás Secretarias de la Entidad")</f>
        <v>Dirección Administrativa de Talento Humano -Transversal con las demás Secretarias de la Entidad</v>
      </c>
      <c r="I92" s="12">
        <f ca="1">IFERROR(__xludf.DUMMYFUNCTION("""COMPUTED_VALUE"""),0.75)</f>
        <v>0.75</v>
      </c>
      <c r="J92" s="10" t="str">
        <f ca="1">IFERROR(__xludf.DUMMYFUNCTION("""COMPUTED_VALUE"""),"Para el corte del 01 de Enero  al 31  de Marzo  de 2022 , La Secretaría de DEPORTE Y RECREACIÓN: a la fecha se tienen el repositorio en varias  plataformas como son la plataforma MIND,  de la alcaldia de Pereira, la plataforma GODARY , de la secretaria  d"&amp;"e deporte, la plataforma de google drive,  donde se protege la informacion más importante de la secretaria.")</f>
        <v>Para el corte del 01 de Enero  al 31  de Marzo  de 2022 , La Secretaría de DEPORTE Y RECREACIÓN: a la fecha se tienen el repositorio en varias  plataformas como son la plataforma MIND,  de la alcaldia de Pereira, la plataforma GODARY , de la secretaria  de deporte, la plataforma de google drive,  donde se protege la informacion más importante de la secretaria.</v>
      </c>
      <c r="K92" s="11">
        <f ca="1">IFERROR(__xludf.DUMMYFUNCTION("""COMPUTED_VALUE"""),44650)</f>
        <v>44650</v>
      </c>
      <c r="L92" s="12">
        <f ca="1">IFERROR(__xludf.DUMMYFUNCTION("""COMPUTED_VALUE"""),0.75)</f>
        <v>0.75</v>
      </c>
      <c r="M92" s="10" t="str">
        <f ca="1">IFERROR(__xludf.DUMMYFUNCTION("""COMPUTED_VALUE"""),"Para el corte del 01 de Enero  al 31  de Marzo  de 2022 , La Secretaría de DEPORTE Y RECREACIÓN: a la fecha se tienen el repositorio en varias  plataformas como son la plataforma MIND,  de la alcaldia de Pereira, la plataforma GODARY , de la secretaria  d"&amp;"e deporte, la plataforma de google drive,  donde se protege la informacion más importante de la secretaria.
")</f>
        <v xml:space="preserve">Para el corte del 01 de Enero  al 31  de Marzo  de 2022 , La Secretaría de DEPORTE Y RECREACIÓN: a la fecha se tienen el repositorio en varias  plataformas como son la plataforma MIND,  de la alcaldia de Pereira, la plataforma GODARY , de la secretaria  de deporte, la plataforma de google drive,  donde se protege la informacion más importante de la secretaria.
</v>
      </c>
      <c r="N92" s="11">
        <f ca="1">IFERROR(__xludf.DUMMYFUNCTION("""COMPUTED_VALUE"""),44742)</f>
        <v>44742</v>
      </c>
      <c r="O92" s="12">
        <f ca="1">IFERROR(__xludf.DUMMYFUNCTION("""COMPUTED_VALUE"""),0.75)</f>
        <v>0.75</v>
      </c>
      <c r="P92" s="10" t="str">
        <f ca="1">IFERROR(__xludf.DUMMYFUNCTION("""COMPUTED_VALUE"""),"Este tercer trimestre no hubo avance, este porcentaje de avance reflejado corresponde al segundo seguimiento de 2022")</f>
        <v>Este tercer trimestre no hubo avance, este porcentaje de avance reflejado corresponde al segundo seguimiento de 2022</v>
      </c>
      <c r="Q92" s="11">
        <f ca="1">IFERROR(__xludf.DUMMYFUNCTION("""COMPUTED_VALUE"""),44834)</f>
        <v>44834</v>
      </c>
      <c r="R92" s="12">
        <f ca="1">IFERROR(__xludf.DUMMYFUNCTION("""COMPUTED_VALUE"""),0.84)</f>
        <v>0.84</v>
      </c>
      <c r="S92" s="10" t="str">
        <f ca="1">IFERROR(__xludf.DUMMYFUNCTION("""COMPUTED_VALUE""")," Acompañamiento a la estrategia Policía de vecindario: Gracias al fortalecimiento de esta estrategia, se ha logrado intervención de sitios álgidos donde se cometen delitos de alto impacto que afectan a la comunidad, además de intervención oportuna a invas"&amp;"iones en áreas de espacio público.
• Fortalecimiento institucional a la Policía Metropolitana en el acompañamiento de las estrategias preventivas colegios seguros, el guantazo y comandos situacionales en beneficio de población vulnerables en especial niñ"&amp;"os, niñas, adolescentes y jóvenes.")</f>
        <v xml:space="preserve"> Acompañamiento a la estrategia Policía de vecindario: Gracias al fortalecimiento de esta estrategia, se ha logrado intervención de sitios álgidos donde se cometen delitos de alto impacto que afectan a la comunidad, además de intervención oportuna a invasiones en áreas de espacio público.
• Fortalecimiento institucional a la Policía Metropolitana en el acompañamiento de las estrategias preventivas colegios seguros, el guantazo y comandos situacionales en beneficio de población vulnerables en especial niños, niñas, adolescentes y jóvenes.</v>
      </c>
      <c r="T92" s="11">
        <f ca="1">IFERROR(__xludf.DUMMYFUNCTION("""COMPUTED_VALUE"""),44925)</f>
        <v>44925</v>
      </c>
      <c r="U92" s="10" t="str">
        <f ca="1">IFERROR(__xludf.DUMMYFUNCTION("""COMPUTED_VALUE"""),"Medicion del Indicador  Se tiene la necesidad de contar con un repositorio alineado con el proceso de Gestión documental y archivo, en cumplimiento con las tablas de retención documental
")</f>
        <v xml:space="preserve">Medicion del Indicador  Se tiene la necesidad de contar con un repositorio alineado con el proceso de Gestión documental y archivo, en cumplimiento con las tablas de retención documental
</v>
      </c>
    </row>
    <row r="93" spans="1:21" ht="37.5" customHeight="1" x14ac:dyDescent="0.2">
      <c r="A93" s="10" t="str">
        <f ca="1">IFERROR(__xludf.DUMMYFUNCTION("""COMPUTED_VALUE"""),"Gestión del Conocimiento y la Innovación")</f>
        <v>Gestión del Conocimiento y la Innovación</v>
      </c>
      <c r="B93" s="10" t="str">
        <f ca="1">IFERROR(__xludf.DUMMYFUNCTION("""COMPUTED_VALUE"""),"Gestión del Conocimiento y la Innovación")</f>
        <v>Gestión del Conocimiento y la Innovación</v>
      </c>
      <c r="C93" s="10" t="str">
        <f ca="1">IFERROR(__xludf.DUMMYFUNCTION("""COMPUTED_VALUE"""),"Contar con repositorios de buenas prácticas.")</f>
        <v>Contar con repositorios de buenas prácticas.</v>
      </c>
      <c r="D93" s="10" t="str">
        <f ca="1">IFERROR(__xludf.DUMMYFUNCTION("""COMPUTED_VALUE"""),"Documentación de la memoria institucional de acuerdo con lineamientos establecidos en la entidad, es de fácil acceso para sus grupos de valor y ha sido divulgada a través de medios físicos y/o digitales.")</f>
        <v>Documentación de la memoria institucional de acuerdo con lineamientos establecidos en la entidad, es de fácil acceso para sus grupos de valor y ha sido divulgada a través de medios físicos y/o digitales.</v>
      </c>
      <c r="E93" s="10" t="str">
        <f ca="1">IFERROR(__xludf.DUMMYFUNCTION("""COMPUTED_VALUE"""),"No. de practicas desarrolladas/No. De practicas implementadas")</f>
        <v>No. de practicas desarrolladas/No. De practicas implementadas</v>
      </c>
      <c r="F93" s="11">
        <f ca="1">IFERROR(__xludf.DUMMYFUNCTION("""COMPUTED_VALUE"""),44588)</f>
        <v>44588</v>
      </c>
      <c r="G93" s="11">
        <f ca="1">IFERROR(__xludf.DUMMYFUNCTION("""COMPUTED_VALUE"""),44925)</f>
        <v>44925</v>
      </c>
      <c r="H93" s="10" t="str">
        <f ca="1">IFERROR(__xludf.DUMMYFUNCTION("""COMPUTED_VALUE"""),"Dirección Administrativa de Talento Humano -Transversal con las demás Secretarias de la Entidad")</f>
        <v>Dirección Administrativa de Talento Humano -Transversal con las demás Secretarias de la Entidad</v>
      </c>
      <c r="I93" s="12">
        <f ca="1">IFERROR(__xludf.DUMMYFUNCTION("""COMPUTED_VALUE"""),0.61)</f>
        <v>0.61</v>
      </c>
      <c r="J93" s="10" t="str">
        <f ca="1">IFERROR(__xludf.DUMMYFUNCTION("""COMPUTED_VALUE"""),"Este primer trimestre no hubo avance, este porcentaje de avance reflejado corresponde a la vigencia 2021. ")</f>
        <v xml:space="preserve">Este primer trimestre no hubo avance, este porcentaje de avance reflejado corresponde a la vigencia 2021. </v>
      </c>
      <c r="K93" s="11">
        <f ca="1">IFERROR(__xludf.DUMMYFUNCTION("""COMPUTED_VALUE"""),44650)</f>
        <v>44650</v>
      </c>
      <c r="L93" s="12">
        <f ca="1">IFERROR(__xludf.DUMMYFUNCTION("""COMPUTED_VALUE"""),0.61)</f>
        <v>0.61</v>
      </c>
      <c r="M93" s="10" t="str">
        <f ca="1">IFERROR(__xludf.DUMMYFUNCTION("""COMPUTED_VALUE"""),"Este primer trimestre no hubo avance, este porcentaje de avance reflejado corresponde a la vigencia 2021. ")</f>
        <v xml:space="preserve">Este primer trimestre no hubo avance, este porcentaje de avance reflejado corresponde a la vigencia 2021. </v>
      </c>
      <c r="N93" s="11">
        <f ca="1">IFERROR(__xludf.DUMMYFUNCTION("""COMPUTED_VALUE"""),44742)</f>
        <v>44742</v>
      </c>
      <c r="O93" s="12">
        <f ca="1">IFERROR(__xludf.DUMMYFUNCTION("""COMPUTED_VALUE"""),0.62)</f>
        <v>0.62</v>
      </c>
      <c r="P93" s="10" t="str">
        <f ca="1">IFERROR(__xludf.DUMMYFUNCTION("""COMPUTED_VALUE"""),"Actualmente la Unidad Administrativa Especial Cuerpo Oficial de Bomberos tiene el equipo BRADYPUS ""Rescate con cuerdas"" el cual esta entrenado para rescate en Telecabina, afianzando conocimientos, habilidades y destrezas que permitan una mejor atención "&amp;"de una posible emergencia presentada en el ""Mega Cable"" ")</f>
        <v xml:space="preserve">Actualmente la Unidad Administrativa Especial Cuerpo Oficial de Bomberos tiene el equipo BRADYPUS "Rescate con cuerdas" el cual esta entrenado para rescate en Telecabina, afianzando conocimientos, habilidades y destrezas que permitan una mejor atención de una posible emergencia presentada en el "Mega Cable" </v>
      </c>
      <c r="Q93" s="11">
        <f ca="1">IFERROR(__xludf.DUMMYFUNCTION("""COMPUTED_VALUE"""),44834)</f>
        <v>44834</v>
      </c>
      <c r="R93" s="12">
        <f ca="1">IFERROR(__xludf.DUMMYFUNCTION("""COMPUTED_VALUE"""),0.67)</f>
        <v>0.67</v>
      </c>
      <c r="S93" s="10" t="str">
        <f ca="1">IFERROR(__xludf.DUMMYFUNCTION("""COMPUTED_VALUE""")," La Secretaria de Infraestructura  se permite Archivar de manera adecuada la información recolectada a través de los formatos creados para tal fin en el 2023")</f>
        <v xml:space="preserve"> La Secretaria de Infraestructura  se permite Archivar de manera adecuada la información recolectada a través de los formatos creados para tal fin en el 2023</v>
      </c>
      <c r="T93" s="11">
        <f ca="1">IFERROR(__xludf.DUMMYFUNCTION("""COMPUTED_VALUE"""),44925)</f>
        <v>44925</v>
      </c>
      <c r="U93" s="10"/>
    </row>
    <row r="94" spans="1:21" ht="37.5" customHeight="1" x14ac:dyDescent="0.2">
      <c r="A94" s="10" t="str">
        <f ca="1">IFERROR(__xludf.DUMMYFUNCTION("""COMPUTED_VALUE"""),"Gestión del Conocimiento y la Innovación")</f>
        <v>Gestión del Conocimiento y la Innovación</v>
      </c>
      <c r="B94" s="10" t="str">
        <f ca="1">IFERROR(__xludf.DUMMYFUNCTION("""COMPUTED_VALUE"""),"Gestión del Conocimiento y la Innovación")</f>
        <v>Gestión del Conocimiento y la Innovación</v>
      </c>
      <c r="C94" s="10" t="str">
        <f ca="1">IFERROR(__xludf.DUMMYFUNCTION("""COMPUTED_VALUE"""),"Contar con repositorios de lecciones aprendidas.")</f>
        <v>Contar con repositorios de lecciones aprendidas.</v>
      </c>
      <c r="D94" s="10" t="str">
        <f ca="1">IFERROR(__xludf.DUMMYFUNCTION("""COMPUTED_VALUE"""),"Planes de comunicación para compartir y difundir el conocimiento que produce la entidad tanto al interior como al exterior de esta, a través de herramientas físicas y digitales.")</f>
        <v>Planes de comunicación para compartir y difundir el conocimiento que produce la entidad tanto al interior como al exterior de esta, a través de herramientas físicas y digitales.</v>
      </c>
      <c r="E94" s="10" t="str">
        <f ca="1">IFERROR(__xludf.DUMMYFUNCTION("""COMPUTED_VALUE"""),"No. Actividades desarrolladas y evaluadas/No. Actividades programadas de comunicación para compartir y difundir el conocimiento de la Entidad.")</f>
        <v>No. Actividades desarrolladas y evaluadas/No. Actividades programadas de comunicación para compartir y difundir el conocimiento de la Entidad.</v>
      </c>
      <c r="F94" s="11">
        <f ca="1">IFERROR(__xludf.DUMMYFUNCTION("""COMPUTED_VALUE"""),44588)</f>
        <v>44588</v>
      </c>
      <c r="G94" s="11">
        <f ca="1">IFERROR(__xludf.DUMMYFUNCTION("""COMPUTED_VALUE"""),44925)</f>
        <v>44925</v>
      </c>
      <c r="H94" s="10" t="str">
        <f ca="1">IFERROR(__xludf.DUMMYFUNCTION("""COMPUTED_VALUE"""),"Dirección Administrativa de Talento Humano -Transversal con las demás Secretarias de la Entidad")</f>
        <v>Dirección Administrativa de Talento Humano -Transversal con las demás Secretarias de la Entidad</v>
      </c>
      <c r="I94" s="12">
        <f ca="1">IFERROR(__xludf.DUMMYFUNCTION("""COMPUTED_VALUE"""),0.61)</f>
        <v>0.61</v>
      </c>
      <c r="J94" s="10" t="str">
        <f ca="1">IFERROR(__xludf.DUMMYFUNCTION("""COMPUTED_VALUE"""),"Este primer trimestre no hubo avance, este porcentaje de avance reflejado corresponde a la vigencia 2021. ")</f>
        <v xml:space="preserve">Este primer trimestre no hubo avance, este porcentaje de avance reflejado corresponde a la vigencia 2021. </v>
      </c>
      <c r="K94" s="11">
        <f ca="1">IFERROR(__xludf.DUMMYFUNCTION("""COMPUTED_VALUE"""),44650)</f>
        <v>44650</v>
      </c>
      <c r="L94" s="12">
        <f ca="1">IFERROR(__xludf.DUMMYFUNCTION("""COMPUTED_VALUE"""),0.61)</f>
        <v>0.61</v>
      </c>
      <c r="M94" s="10" t="str">
        <f ca="1">IFERROR(__xludf.DUMMYFUNCTION("""COMPUTED_VALUE"""),"Este primer trimestre no hubo avance, este porcentaje de avance reflejado corresponde a la vigencia 2021. ")</f>
        <v xml:space="preserve">Este primer trimestre no hubo avance, este porcentaje de avance reflejado corresponde a la vigencia 2021. </v>
      </c>
      <c r="N94" s="11">
        <f ca="1">IFERROR(__xludf.DUMMYFUNCTION("""COMPUTED_VALUE"""),44742)</f>
        <v>44742</v>
      </c>
      <c r="O94" s="12">
        <f ca="1">IFERROR(__xludf.DUMMYFUNCTION("""COMPUTED_VALUE"""),0.61)</f>
        <v>0.61</v>
      </c>
      <c r="P94"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94" s="11">
        <f ca="1">IFERROR(__xludf.DUMMYFUNCTION("""COMPUTED_VALUE"""),44834)</f>
        <v>44834</v>
      </c>
      <c r="R94" s="12">
        <f ca="1">IFERROR(__xludf.DUMMYFUNCTION("""COMPUTED_VALUE"""),0.85)</f>
        <v>0.85</v>
      </c>
      <c r="S94" s="10" t="str">
        <f ca="1">IFERROR(__xludf.DUMMYFUNCTION("""COMPUTED_VALUE"""),"Desde la secretaria de Desarrollo Social se cuenta con diferentes caneles de comunicación como son:  redes sociales, whas app, pagina web de alcaldia, paginas nacionales de consulta (sisben).------
  La Secretaria de Infraestructura Socializa el
  con"&amp;"ocimiento adquirido de las lecciones aprendidas en las diferentes
  capacitaciones en el 2023
 A través de la publicación del Informe de Gestión, la Secretaría de Gobierno difunde y comparte la información sobre las actividades ejecutadas en la depend"&amp;"encia para conocimiento de toda la ciudadanía.
https://www.pereira.gov.co/documentos/893/2022/?genPagDocs=2")</f>
        <v>Desde la secretaria de Desarrollo Social se cuenta con diferentes caneles de comunicación como son:  redes sociales, whas app, pagina web de alcaldia, paginas nacionales de consulta (sisben).------
  La Secretaria de Infraestructura Socializa el
  conocimiento adquirido de las lecciones aprendidas en las diferentes
  capacitaciones en el 2023
 A través de la publicación del Informe de Gestión, la Secretaría de Gobierno difunde y comparte la información sobre las actividades ejecutadas en la dependencia para conocimiento de toda la ciudadanía.
https://www.pereira.gov.co/documentos/893/2022/?genPagDocs=2</v>
      </c>
      <c r="T94" s="11"/>
      <c r="U94" s="10"/>
    </row>
    <row r="95" spans="1:21" ht="37.5" customHeight="1" x14ac:dyDescent="0.2">
      <c r="A95" s="10" t="str">
        <f ca="1">IFERROR(__xludf.DUMMYFUNCTION("""COMPUTED_VALUE"""),"Gestión del Conocimiento y la Innovación")</f>
        <v>Gestión del Conocimiento y la Innovación</v>
      </c>
      <c r="B95" s="10" t="str">
        <f ca="1">IFERROR(__xludf.DUMMYFUNCTION("""COMPUTED_VALUE"""),"Gestión del Conocimiento y la Innovación")</f>
        <v>Gestión del Conocimiento y la Innovación</v>
      </c>
      <c r="C95" s="10" t="str">
        <f ca="1">IFERROR(__xludf.DUMMYFUNCTION("""COMPUTED_VALUE"""),"Desarrollar y fortalecer las habilidades y competencias del talento humano en materia de analítica institucional.")</f>
        <v>Desarrollar y fortalecer las habilidades y competencias del talento humano en materia de analítica institucional.</v>
      </c>
      <c r="D95" s="10" t="str">
        <f ca="1">IFERROR(__xludf.DUMMYFUNCTION("""COMPUTED_VALUE"""),"Fortalece las habilidades y competencias del talento humano de la entidad en materia de analítica institucional, a través de capacitaciones que son evaluadas y cuentan con acciones de mejora.")</f>
        <v>Fortalece las habilidades y competencias del talento humano de la entidad en materia de analítica institucional, a través de capacitaciones que son evaluadas y cuentan con acciones de mejora.</v>
      </c>
      <c r="E95" s="10" t="str">
        <f ca="1">IFERROR(__xludf.DUMMYFUNCTION("""COMPUTED_VALUE"""),"No. de capacitaciones en materia de analítica institucional. evaluadas / No. de capacitaciones en materia de analítica institucional programadas")</f>
        <v>No. de capacitaciones en materia de analítica institucional. evaluadas / No. de capacitaciones en materia de analítica institucional programadas</v>
      </c>
      <c r="F95" s="11">
        <f ca="1">IFERROR(__xludf.DUMMYFUNCTION("""COMPUTED_VALUE"""),44588)</f>
        <v>44588</v>
      </c>
      <c r="G95" s="11">
        <f ca="1">IFERROR(__xludf.DUMMYFUNCTION("""COMPUTED_VALUE"""),44925)</f>
        <v>44925</v>
      </c>
      <c r="H95" s="10" t="str">
        <f ca="1">IFERROR(__xludf.DUMMYFUNCTION("""COMPUTED_VALUE"""),"Dirección Administrativa de Talento Humano -Transversal con las demás Secretarias de la Entidad")</f>
        <v>Dirección Administrativa de Talento Humano -Transversal con las demás Secretarias de la Entidad</v>
      </c>
      <c r="I95" s="12">
        <f ca="1">IFERROR(__xludf.DUMMYFUNCTION("""COMPUTED_VALUE"""),0.61)</f>
        <v>0.61</v>
      </c>
      <c r="J95" s="10" t="str">
        <f ca="1">IFERROR(__xludf.DUMMYFUNCTION("""COMPUTED_VALUE"""),"Para la vigencia del 01 de enero al 31 de marzo de 2022, Este primer trimestre no hubo avance, este porcentaje de avance reflejado corresponde a la vigencia 2021.
 ")</f>
        <v xml:space="preserve">Para la vigencia del 01 de enero al 31 de marzo de 2022, Este primer trimestre no hubo avance, este porcentaje de avance reflejado corresponde a la vigencia 2021.
 </v>
      </c>
      <c r="K95" s="11">
        <f ca="1">IFERROR(__xludf.DUMMYFUNCTION("""COMPUTED_VALUE"""),44650)</f>
        <v>44650</v>
      </c>
      <c r="L95" s="12">
        <f ca="1">IFERROR(__xludf.DUMMYFUNCTION("""COMPUTED_VALUE"""),0.61)</f>
        <v>0.61</v>
      </c>
      <c r="M95" s="10" t="str">
        <f ca="1">IFERROR(__xludf.DUMMYFUNCTION("""COMPUTED_VALUE"""),"Para la vigencia del 01 de enero al 31 de marzo de 2022, Este primer trimestre no hubo avance, este porcentaje de avance reflejado corresponde a la vigencia 2021.
 ")</f>
        <v xml:space="preserve">Para la vigencia del 01 de enero al 31 de marzo de 2022, Este primer trimestre no hubo avance, este porcentaje de avance reflejado corresponde a la vigencia 2021.
 </v>
      </c>
      <c r="N95" s="11">
        <f ca="1">IFERROR(__xludf.DUMMYFUNCTION("""COMPUTED_VALUE"""),44742)</f>
        <v>44742</v>
      </c>
      <c r="O95" s="12">
        <f ca="1">IFERROR(__xludf.DUMMYFUNCTION("""COMPUTED_VALUE"""),0.6)</f>
        <v>0.6</v>
      </c>
      <c r="P95"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95" s="11">
        <f ca="1">IFERROR(__xludf.DUMMYFUNCTION("""COMPUTED_VALUE"""),44834)</f>
        <v>44834</v>
      </c>
      <c r="R95" s="12">
        <f ca="1">IFERROR(__xludf.DUMMYFUNCTION("""COMPUTED_VALUE"""),0.82)</f>
        <v>0.82</v>
      </c>
      <c r="S95" s="10" t="str">
        <f ca="1">IFERROR(__xludf.DUMMYFUNCTION("""COMPUTED_VALUE"""),"En la secretari de deporte se tienen implementado el DATA STUDIO , en el cual mes a mes se tienen las estadisticas de lo desarrollado por la institucion, las cuales estan a disposicion tanto de los servidores como de la comunidad en general y desde alli s"&amp;"e realiza os analisi del comportamiento y desarrollo d elas acciones de la secretaria Evidencias    https://datastudio.google.com/u/0/reporting/bf01f1d9-8246-4c7c-a032-887ff5018f28/page/mLyoo   ---- La Secretaria de Infraestructura -Solicitar asesoría en "&amp;"materia de analítica institucional a la Dirección Administrativa de Talento Humano en el segundo semestre de 2023------Durante los días del 5 al 7 de octubre se realizó jornada de capacitación con todos los inspectores, corregidores, abogados y auxiliares"&amp;", con el fin de que conozcan el uso de la nueva plataforma de inspecciones y corregidurías que será de obligatorio uso a partir de enero del 2023 para llevar a cabo todos los procesos que se realicen desde esos despachos.
")</f>
        <v xml:space="preserve">En la secretari de deporte se tienen implementado el DATA STUDIO , en el cual mes a mes se tienen las estadisticas de lo desarrollado por la institucion, las cuales estan a disposicion tanto de los servidores como de la comunidad en general y desde alli se realiza os analisi del comportamiento y desarrollo d elas acciones de la secretaria Evidencias    https://datastudio.google.com/u/0/reporting/bf01f1d9-8246-4c7c-a032-887ff5018f28/page/mLyoo   ---- La Secretaria de Infraestructura -Solicitar asesoría en materia de analítica institucional a la Dirección Administrativa de Talento Humano en el segundo semestre de 2023------Durante los días del 5 al 7 de octubre se realizó jornada de capacitación con todos los inspectores, corregidores, abogados y auxiliares, con el fin de que conozcan el uso de la nueva plataforma de inspecciones y corregidurías que será de obligatorio uso a partir de enero del 2023 para llevar a cabo todos los procesos que se realicen desde esos despachos.
</v>
      </c>
      <c r="T95" s="11">
        <f ca="1">IFERROR(__xludf.DUMMYFUNCTION("""COMPUTED_VALUE"""),44925)</f>
        <v>44925</v>
      </c>
      <c r="U95" s="10"/>
    </row>
    <row r="96" spans="1:21" ht="37.5" customHeight="1" x14ac:dyDescent="0.2">
      <c r="A96" s="10" t="str">
        <f ca="1">IFERROR(__xludf.DUMMYFUNCTION("""COMPUTED_VALUE"""),"Gestión del Conocimiento y la Innovación")</f>
        <v>Gestión del Conocimiento y la Innovación</v>
      </c>
      <c r="B96" s="10" t="str">
        <f ca="1">IFERROR(__xludf.DUMMYFUNCTION("""COMPUTED_VALUE"""),"Gestión del Conocimiento y la Innovación")</f>
        <v>Gestión del Conocimiento y la Innovación</v>
      </c>
      <c r="C96" s="10" t="str">
        <f ca="1">IFERROR(__xludf.DUMMYFUNCTION("""COMPUTED_VALUE"""),"Desarrollar análisis descriptivos, predictivos y prospectivos de los resultados de su gestión para determinar el grado avance de las políticas a cargo de la entidad y toma acciones de mejora.")</f>
        <v>Desarrollar análisis descriptivos, predictivos y prospectivos de los resultados de su gestión para determinar el grado avance de las políticas a cargo de la entidad y toma acciones de mejora.</v>
      </c>
      <c r="D96" s="10" t="str">
        <f ca="1">IFERROR(__xludf.DUMMYFUNCTION("""COMPUTED_VALUE"""),"Acciones de aprendizaje basadas análisis descriptivos, predictivos y prospectivos de los resultados de su gestión, además determina el grado de avance de las políticas a su cargo y toma acciones de mejora.")</f>
        <v>Acciones de aprendizaje basadas análisis descriptivos, predictivos y prospectivos de los resultados de su gestión, además determina el grado de avance de las políticas a su cargo y toma acciones de mejora.</v>
      </c>
      <c r="E96" s="10" t="str">
        <f ca="1">IFERROR(__xludf.DUMMYFUNCTION("""COMPUTED_VALUE"""),"No. de actividades realizadas para análisis de resultado de la gestión/No. de actividades identificadas para análisis de resultado de la gestión")</f>
        <v>No. de actividades realizadas para análisis de resultado de la gestión/No. de actividades identificadas para análisis de resultado de la gestión</v>
      </c>
      <c r="F96" s="11">
        <f ca="1">IFERROR(__xludf.DUMMYFUNCTION("""COMPUTED_VALUE"""),44619)</f>
        <v>44619</v>
      </c>
      <c r="G96" s="11">
        <f ca="1">IFERROR(__xludf.DUMMYFUNCTION("""COMPUTED_VALUE"""),44925)</f>
        <v>44925</v>
      </c>
      <c r="H96" s="10" t="str">
        <f ca="1">IFERROR(__xludf.DUMMYFUNCTION("""COMPUTED_VALUE"""),"Dirección Administrativa de Talento Humano -Transversal con las demás Secretarias de la Entidad")</f>
        <v>Dirección Administrativa de Talento Humano -Transversal con las demás Secretarias de la Entidad</v>
      </c>
      <c r="I96" s="12">
        <f ca="1">IFERROR(__xludf.DUMMYFUNCTION("""COMPUTED_VALUE"""),0.75)</f>
        <v>0.75</v>
      </c>
      <c r="J96" s="10" t="str">
        <f ca="1">IFERROR(__xludf.DUMMYFUNCTION("""COMPUTED_VALUE"""),"Para la vigencia del 01 de enero al 31 de marzo de 2022 , Gestiòn documental  presenta las siguientes actividades :1. Se realiza cronograma para el año 2022 en la que se implementa capacitacion de FUNDAMENTOS BÁSICOS DE ARCHIVO, continuando con las vistas"&amp;" de Diagnosticos Integral de Archivos de Gestión, evidencia el desconocimiento de la preservación documental, falta de espacio, mobiliario condiciones de las locaciones no son aptas, falta de materia de trabajo.
2. Se evidencia capacitaciones y visitas re"&amp;"alizadas en la Secretaria de Gobierno y la Secretaria de Desarrollo Social. EVIDENCIAS :DESIGNACIÓN DE ENLACES
https://drive.google.com/drive/folders/1b4ngvTMYPUTxxT9wOba2kosq59i4f4wk?usp=sharing 
CRONOGRAMA 2022
https://docs.google.com/spreadsheets/d/1rM"&amp;"W59lXbJnk1Q-138XsqYV8nV0GPpFrbOA7VvUiqLx4/edit?usp=sharing
ACTAS DE REUNIÓN ENLACES - REGISTRO FOTOGRAFICO
https://drive.google.com/drive/folders/1RfxiU-SBp0z7MrxqkLZOWpmFvFKUo6hW?usp=sharing_________________Para el corte del 01 de Enero  al 31  de Marzo "&amp;" de 2022 , La Secretaría de DEPORTE Y RECREACIÓN:: desde hace 4 añso se vienen realizadno pemanentemente a traves de los sistemas de información donde se tiene informacion longitudinal discriminada por sector urbano y rural, ciclos hetareos, condiciòn y s"&amp;"ituacion y por indicadores de calidad del servicio.
")</f>
        <v xml:space="preserve">Para la vigencia del 01 de enero al 31 de marzo de 2022 , Gestiòn documental  presenta las siguientes actividades :1. Se realiza cronograma para el año 2022 en la que se implementa capacitacion de FUNDAMENTOS BÁSICOS DE ARCHIVO, continuando con las vistas de Diagnosticos Integral de Archivos de Gestión, evidencia el desconocimiento de la preservación documental, falta de espacio, mobiliario condiciones de las locaciones no son aptas, falta de materia de trabajo.
2. Se evidencia capacitaciones y visitas realizadas en la Secretaria de Gobierno y la Secretaria de Desarrollo Social. EVIDENCIAS :DESIGNACIÓN DE ENLACES
https://drive.google.com/drive/folders/1b4ngvTMYPUTxxT9wOba2kosq59i4f4wk?usp=sharing 
CRONOGRAMA 2022
https://docs.google.com/spreadsheets/d/1rMW59lXbJnk1Q-138XsqYV8nV0GPpFrbOA7VvUiqLx4/edit?usp=sharing
ACTAS DE REUNIÓN ENLACES - REGISTRO FOTOGRAFICO
https://drive.google.com/drive/folders/1RfxiU-SBp0z7MrxqkLZOWpmFvFKUo6hW?usp=sharing_________________Para el corte del 01 de Enero  al 31  de Marzo  de 2022 , La Secretaría de DEPORTE Y RECREACIÓN:: desde hace 4 añso se vienen realizadno pemanentemente a traves de los sistemas de información donde se tiene informacion longitudinal discriminada por sector urbano y rural, ciclos hetareos, condiciòn y situacion y por indicadores de calidad del servicio.
</v>
      </c>
      <c r="K96" s="11">
        <f ca="1">IFERROR(__xludf.DUMMYFUNCTION("""COMPUTED_VALUE"""),44650)</f>
        <v>44650</v>
      </c>
      <c r="L96" s="12">
        <f ca="1">IFERROR(__xludf.DUMMYFUNCTION("""COMPUTED_VALUE"""),0.75)</f>
        <v>0.75</v>
      </c>
      <c r="M96" s="10" t="str">
        <f ca="1">IFERROR(__xludf.DUMMYFUNCTION("""COMPUTED_VALUE"""),"Para la vigencia del 01 de Abril al 30 de junio de 2022 , Gestiòn documental  presenta las siguientes actividades :Se  aprobaron manuales de funciones  bajo el acta 6 del 16 de diciembre de 2022 y que ya estan publicados en la web y en SAIAl. EVIDENCIAS :"&amp;"DESIGNACIÓN DE ENLACES
https://drive.google.com/drive/folders/1b4ngvTMYPUTxxT9wOba2kosq59i4f4wk?usp=sharing 
Se continua trabajando en la conservación de la memoria instituacional de la Alcaldia. https://docs.google.com/spreadsheets/d/1rMW59lXbJnk1Q-138Xs"&amp;"qYV8nV0GPpFrbOA7VvUiqLx4/edit?usp=sharing
")</f>
        <v xml:space="preserve">Para la vigencia del 01 de Abril al 30 de junio de 2022 , Gestiòn documental  presenta las siguientes actividades :Se  aprobaron manuales de funciones  bajo el acta 6 del 16 de diciembre de 2022 y que ya estan publicados en la web y en SAIAl. EVIDENCIAS :DESIGNACIÓN DE ENLACES
https://drive.google.com/drive/folders/1b4ngvTMYPUTxxT9wOba2kosq59i4f4wk?usp=sharing 
Se continua trabajando en la conservación de la memoria instituacional de la Alcaldia. https://docs.google.com/spreadsheets/d/1rMW59lXbJnk1Q-138XsqYV8nV0GPpFrbOA7VvUiqLx4/edit?usp=sharing
</v>
      </c>
      <c r="N96" s="11">
        <f ca="1">IFERROR(__xludf.DUMMYFUNCTION("""COMPUTED_VALUE"""),44742)</f>
        <v>44742</v>
      </c>
      <c r="O96" s="12">
        <f ca="1">IFERROR(__xludf.DUMMYFUNCTION("""COMPUTED_VALUE"""),0.75)</f>
        <v>0.75</v>
      </c>
      <c r="P96"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96" s="11">
        <f ca="1">IFERROR(__xludf.DUMMYFUNCTION("""COMPUTED_VALUE"""),44834)</f>
        <v>44834</v>
      </c>
      <c r="R96" s="12">
        <f ca="1">IFERROR(__xludf.DUMMYFUNCTION("""COMPUTED_VALUE"""),0.83)</f>
        <v>0.83</v>
      </c>
      <c r="S96" s="10" t="str">
        <f ca="1">IFERROR(__xludf.DUMMYFUNCTION("""COMPUTED_VALUE"""),"En la secretari de deporte se tienen implementado el DATA STUDIO , en el cual mes a mes se tienen las estadisticas de lo desarrollado por la institucion, las cuales estan a disposicion tanto de los servidores como de la comunidad en general y desde alli s"&amp;"e realiza os analisi del comportamiento y desarrollo d elas acciones de la secretaria Evidencias https://datastudio.google.com/u/0/reporting/bf01f1d9-8246-4c7c-a032-887ff5018f28/page/mLyo        ")</f>
        <v xml:space="preserve">En la secretari de deporte se tienen implementado el DATA STUDIO , en el cual mes a mes se tienen las estadisticas de lo desarrollado por la institucion, las cuales estan a disposicion tanto de los servidores como de la comunidad en general y desde alli se realiza os analisi del comportamiento y desarrollo d elas acciones de la secretaria Evidencias https://datastudio.google.com/u/0/reporting/bf01f1d9-8246-4c7c-a032-887ff5018f28/page/mLyo        </v>
      </c>
      <c r="T96" s="11">
        <f ca="1">IFERROR(__xludf.DUMMYFUNCTION("""COMPUTED_VALUE"""),44925)</f>
        <v>44925</v>
      </c>
      <c r="U96" s="10"/>
    </row>
    <row r="97" spans="1:21" ht="37.5" customHeight="1" x14ac:dyDescent="0.2">
      <c r="A97" s="10" t="str">
        <f ca="1">IFERROR(__xludf.DUMMYFUNCTION("""COMPUTED_VALUE"""),"Gestión del Conocimiento y la Innovación")</f>
        <v>Gestión del Conocimiento y la Innovación</v>
      </c>
      <c r="B97" s="10" t="str">
        <f ca="1">IFERROR(__xludf.DUMMYFUNCTION("""COMPUTED_VALUE"""),"Gestión del Conocimiento y la Innovación")</f>
        <v>Gestión del Conocimiento y la Innovación</v>
      </c>
      <c r="C97" s="10" t="str">
        <f ca="1">IFERROR(__xludf.DUMMYFUNCTION("""COMPUTED_VALUE"""),"Contar con documentación de la memoria institucional de fácil acceso, así mismo, llevar a cabo la divulgación de dicha información a sus grupos de valor a través de medios físicos y/o digitales.")</f>
        <v>Contar con documentación de la memoria institucional de fácil acceso, así mismo, llevar a cabo la divulgación de dicha información a sus grupos de valor a través de medios físicos y/o digitales.</v>
      </c>
      <c r="D97" s="10" t="str">
        <f ca="1">IFERROR(__xludf.DUMMYFUNCTION("""COMPUTED_VALUE"""),"Cuenta con documentación de la memoria institucional de acuerdo con lineamientos establecidos en la entidad, es de fácil acceso para sus grupos de valor y ha sido divulgada a través de medios físicos y/o digitales.")</f>
        <v>Cuenta con documentación de la memoria institucional de acuerdo con lineamientos establecidos en la entidad, es de fácil acceso para sus grupos de valor y ha sido divulgada a través de medios físicos y/o digitales.</v>
      </c>
      <c r="E97" s="10" t="str">
        <f ca="1">IFERROR(__xludf.DUMMYFUNCTION("""COMPUTED_VALUE"""),"No. de documentos recolectados y divulgados de la memoria institucional No, de documentos propuestos")</f>
        <v>No. de documentos recolectados y divulgados de la memoria institucional No, de documentos propuestos</v>
      </c>
      <c r="F97" s="11">
        <f ca="1">IFERROR(__xludf.DUMMYFUNCTION("""COMPUTED_VALUE"""),44619)</f>
        <v>44619</v>
      </c>
      <c r="G97" s="11">
        <f ca="1">IFERROR(__xludf.DUMMYFUNCTION("""COMPUTED_VALUE"""),44925)</f>
        <v>44925</v>
      </c>
      <c r="H97" s="10" t="str">
        <f ca="1">IFERROR(__xludf.DUMMYFUNCTION("""COMPUTED_VALUE"""),"Dirección Administrativa de Talento Humano -Transversal con las demás Secretarias de la Entidad")</f>
        <v>Dirección Administrativa de Talento Humano -Transversal con las demás Secretarias de la Entidad</v>
      </c>
      <c r="I97" s="12">
        <f ca="1">IFERROR(__xludf.DUMMYFUNCTION("""COMPUTED_VALUE"""),0.65)</f>
        <v>0.65</v>
      </c>
      <c r="J97" s="10" t="str">
        <f ca="1">IFERROR(__xludf.DUMMYFUNCTION("""COMPUTED_VALUE"""),"Para la vigencia del 01 de enero al 31 de marzo de 2022, La secretarìa  de DEPORTE Y RECREACION:  a la fecha se tienen el repositorio en varias  platafomas como son la plataforma MIND,  de la alcaldia de pereira, la plataforma GODARY , de la secretaria  d"&amp;"e deporte, la plataforma de google drive,  donde se protege la informacion más importante de la secretaria,.  Adiconal a esto se tienen un sitioo en la pagian de la alcaldia, la pagina del observatorio, y los data studio desde el 2019 de facil acceso a to"&amp;"da la comunidad.")</f>
        <v>Para la vigencia del 01 de enero al 31 de marzo de 2022, La secretarìa  de DEPORTE Y RECREACION:  a la fecha se tienen el repositorio en varias  platafomas como son la plataforma MIND,  de la alcaldia de pereira, la plataforma GODARY , de la secretaria  de deporte, la plataforma de google drive,  donde se protege la informacion más importante de la secretaria,.  Adiconal a esto se tienen un sitioo en la pagian de la alcaldia, la pagina del observatorio, y los data studio desde el 2019 de facil acceso a toda la comunidad.</v>
      </c>
      <c r="K97" s="11">
        <f ca="1">IFERROR(__xludf.DUMMYFUNCTION("""COMPUTED_VALUE"""),44650)</f>
        <v>44650</v>
      </c>
      <c r="L97" s="12">
        <f ca="1">IFERROR(__xludf.DUMMYFUNCTION("""COMPUTED_VALUE"""),0.65)</f>
        <v>0.65</v>
      </c>
      <c r="M97" s="10" t="str">
        <f ca="1">IFERROR(__xludf.DUMMYFUNCTION("""COMPUTED_VALUE"""),"Para la vigencia del 01 de enero al 31 de marzo de 2022, La secretarìa de DEPORTE Y RECREACION: a la fecha se tienen el repositorio en varias platafomas como son la plataforma MIND, de la alcaldia de pereira, la plataforma GODARY , de la secretaria de dep"&amp;"orte, la plataforma de google drive, donde se protege la informacion más importante de la secretaria,. Adiconal a esto se tienen un sitioo en la pagian de la alcaldia, la pagina del observatorio, y los data studio desde el 2019 de facil acceso a toda la c"&amp;"omunidad.")</f>
        <v>Para la vigencia del 01 de enero al 31 de marzo de 2022, La secretarìa de DEPORTE Y RECREACION: a la fecha se tienen el repositorio en varias platafomas como son la plataforma MIND, de la alcaldia de pereira, la plataforma GODARY , de la secretaria de deporte, la plataforma de google drive, donde se protege la informacion más importante de la secretaria,. Adiconal a esto se tienen un sitioo en la pagian de la alcaldia, la pagina del observatorio, y los data studio desde el 2019 de facil acceso a toda la comunidad.</v>
      </c>
      <c r="N97" s="11">
        <f ca="1">IFERROR(__xludf.DUMMYFUNCTION("""COMPUTED_VALUE"""),44742)</f>
        <v>44742</v>
      </c>
      <c r="O97" s="12">
        <f ca="1">IFERROR(__xludf.DUMMYFUNCTION("""COMPUTED_VALUE"""),0.68)</f>
        <v>0.68</v>
      </c>
      <c r="P97" s="10" t="str">
        <f ca="1">IFERROR(__xludf.DUMMYFUNCTION("""COMPUTED_VALUE"""),"Durante el primer semestre se realizaron desde la Secretaria de Hacienda, jornadas de sensibilizacion en los diferentes barrios y comunas de la ciudad, con el fin de lograr un mejor acompañamiento al contribuyente, identificando parte de sus necesidades y"&amp;" dando a conocer las nuevas reglas de la actualizacion catastral, como principal elemento en el cambio de los valores del predial.  la evidencia fotografica se encuentra publicada en el boton PARTICIPA  de la politica de transparencia.")</f>
        <v>Durante el primer semestre se realizaron desde la Secretaria de Hacienda, jornadas de sensibilizacion en los diferentes barrios y comunas de la ciudad, con el fin de lograr un mejor acompañamiento al contribuyente, identificando parte de sus necesidades y dando a conocer las nuevas reglas de la actualizacion catastral, como principal elemento en el cambio de los valores del predial.  la evidencia fotografica se encuentra publicada en el boton PARTICIPA  de la politica de transparencia.</v>
      </c>
      <c r="Q97" s="11">
        <f ca="1">IFERROR(__xludf.DUMMYFUNCTION("""COMPUTED_VALUE"""),44834)</f>
        <v>44834</v>
      </c>
      <c r="R97" s="12">
        <f ca="1">IFERROR(__xludf.DUMMYFUNCTION("""COMPUTED_VALUE"""),0.83)</f>
        <v>0.83</v>
      </c>
      <c r="S97" s="10" t="str">
        <f ca="1">IFERROR(__xludf.DUMMYFUNCTION("""COMPUTED_VALUE"""),"En la secretari de deporte se tienen implementado el DATA STUDIO , en el cual mes a mes se tienen las estadisticas de lo desarrollado por la institucion, las cuales estan a disposicion tanto de los servidores como de la comunidad en general y desde alli s"&amp;"e realiza os analisi del comportamiento y desarrollo d elas acciones de la secretaria videncias   https://datastudio.google.com/u/0/reporting/bf01f1d9-8246-4c7c-a032-887ff5018f28/page/mLyo -----Las tablas de retención documental de la secretaria de desarr"&amp;"ollo social Fueron ajustadas, de acuerdo a las directrices del Archivo General de la Nación en el tercer trimestre de 2022,  la memoria institucional de la secretaria de desarrollo social se consolida dentro de los inventarios documentales descritos en el"&amp;" Formato Unico de inventario Documental (FUID), los cuales  seran actualizados a diciembre  de 2022. Esta información se encuentra en el drive del correo institucional del area del archivo. de igual manera la contratacion de prestacion de servicios se enc"&amp;"uentra digitalizada y reposa en drive.-----------La Oficina de Control interno continua haciendo uso de la herrameinta enlina DRive  y con elementos como dispositivo de alamacenamientos digitales como  el disco duro de los pc y estraibles como herramienta"&amp;"s para la documentación de información de faicl acceso y disponible para consulta y uso cuando sea necesario. La evidecnia es la cuenta isntitucional de la oficina: controlinterno@pereira.gov.co  la cual contiene el drive en meción y los dispocitivos de a"&amp;"lmacenamiento que se encuetran en la Oficna de Control Interno.------ La secretaria de Infraestructura  se permite Socializar el acceso a la información de la memoria institucional con que cuenta la Secretaría en 2023.--- La Secretaria d Planeacion.Plan d"&amp;"e Desarrollo Municipal 2020- 2023: 
Plan de Ordenamiento Territorial y desarrollo Urbano : https://sites.google.com/view/expedientemunicipal/inicio?pli=1
Observatorio de Politicas Publicas:https://www.pereira.gov.co/documentos/884/observatorio-politicas-p"&amp;"ublicas/#:~:text=Direcci%C3%B3n%3A%20Cra.,18%2D55%20Pereira%20%2D%20Risaralda.&amp;text=Horario%20de%20atenci%C3%B3n%3A%20Lunes%20a,00%20a.m.%20%2D%203%3A00%20p.m.
Observatorio Inmobiliario:https://www.pereira.gov.co/documentos/820/observatorio-inmobiliario/
"&amp;"Sistema de Informacion Geografica: https://mapas-pereira.opendata.arcgis.com/")</f>
        <v>En la secretari de deporte se tienen implementado el DATA STUDIO , en el cual mes a mes se tienen las estadisticas de lo desarrollado por la institucion, las cuales estan a disposicion tanto de los servidores como de la comunidad en general y desde alli se realiza os analisi del comportamiento y desarrollo d elas acciones de la secretaria videncias   https://datastudio.google.com/u/0/reporting/bf01f1d9-8246-4c7c-a032-887ff5018f28/page/mLyo -----Las tablas de retención documental de la secretaria de desarrollo social Fueron ajustadas, de acuerdo a las directrices del Archivo General de la Nación en el tercer trimestre de 2022,  la memoria institucional de la secretaria de desarrollo social se consolida dentro de los inventarios documentales descritos en el Formato Unico de inventario Documental (FUID), los cuales  seran actualizados a diciembre  de 2022. Esta información se encuentra en el drive del correo institucional del area del archivo. de igual manera la contratacion de prestacion de servicios se encuentra digitalizada y reposa en drive.-----------La Oficina de Control interno continua haciendo uso de la herrameinta enlina DRive  y con elementos como dispositivo de alamacenamientos digitales como  el disco duro de los pc y estraibles como herramientas para la documentación de información de faicl acceso y disponible para consulta y uso cuando sea necesario. La evidecnia es la cuenta isntitucional de la oficina: controlinterno@pereira.gov.co  la cual contiene el drive en meción y los dispocitivos de almacenamiento que se encuetran en la Oficna de Control Interno.------ La secretaria de Infraestructura  se permite Socializar el acceso a la información de la memoria institucional con que cuenta la Secretaría en 2023.--- La Secretaria d Planeacion.Plan de Desarrollo Municipal 2020- 2023: 
Plan de Ordenamiento Territorial y desarrollo Urbano : https://sites.google.com/view/expedientemunicipal/inicio?pli=1
Observatorio de Politicas Publicas:https://www.pereira.gov.co/documentos/884/observatorio-politicas-publicas/#:~:text=Direcci%C3%B3n%3A%20Cra.,18%2D55%20Pereira%20%2D%20Risaralda.&amp;text=Horario%20de%20atenci%C3%B3n%3A%20Lunes%20a,00%20a.m.%20%2D%203%3A00%20p.m.
Observatorio Inmobiliario:https://www.pereira.gov.co/documentos/820/observatorio-inmobiliario/
Sistema de Informacion Geografica: https://mapas-pereira.opendata.arcgis.com/</v>
      </c>
      <c r="T97" s="11">
        <f ca="1">IFERROR(__xludf.DUMMYFUNCTION("""COMPUTED_VALUE"""),44925)</f>
        <v>44925</v>
      </c>
      <c r="U97" s="10"/>
    </row>
    <row r="98" spans="1:21" ht="37.5" customHeight="1" x14ac:dyDescent="0.2">
      <c r="A98" s="10" t="str">
        <f ca="1">IFERROR(__xludf.DUMMYFUNCTION("""COMPUTED_VALUE"""),"Gestión del Conocimiento y la Innovación")</f>
        <v>Gestión del Conocimiento y la Innovación</v>
      </c>
      <c r="B98" s="10" t="str">
        <f ca="1">IFERROR(__xludf.DUMMYFUNCTION("""COMPUTED_VALUE"""),"Gestión del Conocimiento y la Innovación")</f>
        <v>Gestión del Conocimiento y la Innovación</v>
      </c>
      <c r="C98" s="10" t="str">
        <f ca="1">IFERROR(__xludf.DUMMYFUNCTION("""COMPUTED_VALUE"""),"Participar con las buenas prácticas en convocatorias o premios nacionales e internacionales.")</f>
        <v>Participar con las buenas prácticas en convocatorias o premios nacionales e internacionales.</v>
      </c>
      <c r="D98" s="10" t="str">
        <f ca="1">IFERROR(__xludf.DUMMYFUNCTION("""COMPUTED_VALUE"""),"Participar en programas, convocatorias o premios nacionales e internacionales con las buenas prácticas de sus proyectos de gestión.")</f>
        <v>Participar en programas, convocatorias o premios nacionales e internacionales con las buenas prácticas de sus proyectos de gestión.</v>
      </c>
      <c r="E98" s="10" t="str">
        <f ca="1">IFERROR(__xludf.DUMMYFUNCTION("""COMPUTED_VALUE"""),"No, de eventos de innovación en los que se participo/No. de invitaciones programados")</f>
        <v>No, de eventos de innovación en los que se participo/No. de invitaciones programados</v>
      </c>
      <c r="F98" s="11">
        <f ca="1">IFERROR(__xludf.DUMMYFUNCTION("""COMPUTED_VALUE"""),44588)</f>
        <v>44588</v>
      </c>
      <c r="G98" s="11">
        <f ca="1">IFERROR(__xludf.DUMMYFUNCTION("""COMPUTED_VALUE"""),44925)</f>
        <v>44925</v>
      </c>
      <c r="H98" s="10" t="str">
        <f ca="1">IFERROR(__xludf.DUMMYFUNCTION("""COMPUTED_VALUE"""),"Dirección Administrativa de Talento Humano -Transversal con las demás Secretarias de la Entidad")</f>
        <v>Dirección Administrativa de Talento Humano -Transversal con las demás Secretarias de la Entidad</v>
      </c>
      <c r="I98" s="12">
        <f ca="1">IFERROR(__xludf.DUMMYFUNCTION("""COMPUTED_VALUE"""),0.7)</f>
        <v>0.7</v>
      </c>
      <c r="J98" s="10" t="str">
        <f ca="1">IFERROR(__xludf.DUMMYFUNCTION("""COMPUTED_VALUE"""),"Para la vigencia del 01 de enero al 31 de marzo de 2022,La Secretarìa de DEPORTE Y RECREACION: Solicito  copia de la evaluación de los jurados a la participacion del premio de alta gerencia y en este momento se esta haciendo la revisoin con el fin de hace"&amp;"r los  ajustes y mejoras para este año.")</f>
        <v>Para la vigencia del 01 de enero al 31 de marzo de 2022,La Secretarìa de DEPORTE Y RECREACION: Solicito  copia de la evaluación de los jurados a la participacion del premio de alta gerencia y en este momento se esta haciendo la revisoin con el fin de hacer los  ajustes y mejoras para este año.</v>
      </c>
      <c r="K98" s="11">
        <f ca="1">IFERROR(__xludf.DUMMYFUNCTION("""COMPUTED_VALUE"""),44650)</f>
        <v>44650</v>
      </c>
      <c r="L98" s="12">
        <f ca="1">IFERROR(__xludf.DUMMYFUNCTION("""COMPUTED_VALUE"""),0.7)</f>
        <v>0.7</v>
      </c>
      <c r="M98" s="10" t="str">
        <f ca="1">IFERROR(__xludf.DUMMYFUNCTION("""COMPUTED_VALUE"""),"Para la vigencia del 01 de enero al 31 de marzo de 2022,La Secretarìa de DEPORTE Y RECREACION: Solicito  copia de la evaluación de los jurados a la participacion del premio de alta gerencia y en este momento se esta haciendo la revisoin con el fin de hace"&amp;"r los  ajustes y mejoras para este año.
")</f>
        <v xml:space="preserve">Para la vigencia del 01 de enero al 31 de marzo de 2022,La Secretarìa de DEPORTE Y RECREACION: Solicito  copia de la evaluación de los jurados a la participacion del premio de alta gerencia y en este momento se esta haciendo la revisoin con el fin de hacer los  ajustes y mejoras para este año.
</v>
      </c>
      <c r="N98" s="11">
        <f ca="1">IFERROR(__xludf.DUMMYFUNCTION("""COMPUTED_VALUE"""),44742)</f>
        <v>44742</v>
      </c>
      <c r="O98" s="12">
        <f ca="1">IFERROR(__xludf.DUMMYFUNCTION("""COMPUTED_VALUE"""),0.7)</f>
        <v>0.7</v>
      </c>
      <c r="P98" s="10" t="str">
        <f ca="1">IFERROR(__xludf.DUMMYFUNCTION("""COMPUTED_VALUE"""),"Este tercer trimestre no hubo avance, este porcentaje de avance reflejado corresponde al segundo trimestre")</f>
        <v>Este tercer trimestre no hubo avance, este porcentaje de avance reflejado corresponde al segundo trimestre</v>
      </c>
      <c r="Q98" s="11">
        <f ca="1">IFERROR(__xludf.DUMMYFUNCTION("""COMPUTED_VALUE"""),44834)</f>
        <v>44834</v>
      </c>
      <c r="R98" s="12">
        <f ca="1">IFERROR(__xludf.DUMMYFUNCTION("""COMPUTED_VALUE"""),0.83)</f>
        <v>0.83</v>
      </c>
      <c r="S98" s="10" t="str">
        <f ca="1">IFERROR(__xludf.DUMMYFUNCTION("""COMPUTED_VALUE"""),"la secretaria de Deportes  participo en la socializacion de las Buenas practicas RIA ( Ruta interadminsitrativa para la atención en la primera infancia Evidencias https://drive.google.com/drive/folders/1riFtDH5F6qlcAxflcMp-DDPl69usP3Bo ------Confieren a  "&amp;"Pereira, primer puesto en Seguridad y Convivencia en Colombia. El alcalde de Pereira, Carlos Maya, recibe en Bogotá, el primer puesto en Seguridad y Convivencia, conferido por el gobierno nacional. (Fuente: Eje 21)
El Banco Interamericano de Desarrollo B"&amp;"ID, entregó un premio a la Alcaldía de Pereira bajo el programa  concurso Gobernarte - Premio Pablo Valenti. Ha premiado a Pereira, quien se alzó con el galardón en la categoría de Prevención y Respuesta al Delito de Trata de Personas:
https://www.instagr"&amp;"am.com/reel/ClYrCh1jsJC/?igshid=YmMyMTA2M2Y%3D")</f>
        <v>la secretaria de Deportes  participo en la socializacion de las Buenas practicas RIA ( Ruta interadminsitrativa para la atención en la primera infancia Evidencias https://drive.google.com/drive/folders/1riFtDH5F6qlcAxflcMp-DDPl69usP3Bo ------Confieren a  Pereira, primer puesto en Seguridad y Convivencia en Colombia. El alcalde de Pereira, Carlos Maya, recibe en Bogotá, el primer puesto en Seguridad y Convivencia, conferido por el gobierno nacional. (Fuente: Eje 21)
El Banco Interamericano de Desarrollo BID, entregó un premio a la Alcaldía de Pereira bajo el programa  concurso Gobernarte - Premio Pablo Valenti. Ha premiado a Pereira, quien se alzó con el galardón en la categoría de Prevención y Respuesta al Delito de Trata de Personas:
https://www.instagram.com/reel/ClYrCh1jsJC/?igshid=YmMyMTA2M2Y%3D</v>
      </c>
      <c r="T98" s="11">
        <f ca="1">IFERROR(__xludf.DUMMYFUNCTION("""COMPUTED_VALUE"""),44925)</f>
        <v>44925</v>
      </c>
      <c r="U98" s="10"/>
    </row>
    <row r="99" spans="1:21" ht="37.5" customHeight="1" x14ac:dyDescent="0.2">
      <c r="A99" s="10" t="str">
        <f ca="1">IFERROR(__xludf.DUMMYFUNCTION("""COMPUTED_VALUE"""),"Gestión del Conocimiento y la Innovación")</f>
        <v>Gestión del Conocimiento y la Innovación</v>
      </c>
      <c r="B99" s="10" t="str">
        <f ca="1">IFERROR(__xludf.DUMMYFUNCTION("""COMPUTED_VALUE"""),"Gestión del Conocimiento y la Innovación")</f>
        <v>Gestión del Conocimiento y la Innovación</v>
      </c>
      <c r="C99" s="10" t="str">
        <f ca="1">IFERROR(__xludf.DUMMYFUNCTION("""COMPUTED_VALUE"""),"Llevar a cabo acciones de aprendizaje basadas en problemas o proyectos, dentro de su planeación anual, de acuerdo con las necesidades de conocimiento de la entidad, evaluar los resultados y tomar acciones de mejora.")</f>
        <v>Llevar a cabo acciones de aprendizaje basadas en problemas o proyectos, dentro de su planeación anual, de acuerdo con las necesidades de conocimiento de la entidad, evaluar los resultados y tomar acciones de mejora.</v>
      </c>
      <c r="D99" s="10" t="str">
        <f ca="1">IFERROR(__xludf.DUMMYFUNCTION("""COMPUTED_VALUE"""),"Acciones de aprendizaje basadas en problemas o proyectos, dentro de su planeación anual, de acuerdo con las necesidades de conocimiento de la entidad, evalúa los resultados y toma acciones de mejora.")</f>
        <v>Acciones de aprendizaje basadas en problemas o proyectos, dentro de su planeación anual, de acuerdo con las necesidades de conocimiento de la entidad, evalúa los resultados y toma acciones de mejora.</v>
      </c>
      <c r="E99" s="10" t="str">
        <f ca="1">IFERROR(__xludf.DUMMYFUNCTION("""COMPUTED_VALUE"""),"No. de actividades de aprendizaje ejecutadas con acción de mejora /No. de actividades de aprendizaje programadas.")</f>
        <v>No. de actividades de aprendizaje ejecutadas con acción de mejora /No. de actividades de aprendizaje programadas.</v>
      </c>
      <c r="F99" s="11">
        <f ca="1">IFERROR(__xludf.DUMMYFUNCTION("""COMPUTED_VALUE"""),44588)</f>
        <v>44588</v>
      </c>
      <c r="G99" s="11">
        <f ca="1">IFERROR(__xludf.DUMMYFUNCTION("""COMPUTED_VALUE"""),44925)</f>
        <v>44925</v>
      </c>
      <c r="H99" s="10" t="str">
        <f ca="1">IFERROR(__xludf.DUMMYFUNCTION("""COMPUTED_VALUE"""),"Dirección Administrativa de Talento Humano -Transversal con las demás Secretarias de la Entidad")</f>
        <v>Dirección Administrativa de Talento Humano -Transversal con las demás Secretarias de la Entidad</v>
      </c>
      <c r="I99" s="12">
        <f ca="1">IFERROR(__xludf.DUMMYFUNCTION("""COMPUTED_VALUE"""),0.95)</f>
        <v>0.95</v>
      </c>
      <c r="J99" s="10" t="str">
        <f ca="1">IFERROR(__xludf.DUMMYFUNCTION("""COMPUTED_VALUE"""),"Para el corte de 01 de enero al 31 de marzo de 2022, desde la Secretarìa Privada , se continua  en alianza con al ESAP para capacitar a los presidentes de las JAC los días 18 y 25 de mayo empiezan las capacitaciones.
4 de febrero 2022 Acta # 80 Reunión in"&amp;"troducción Contratista con alcances en capacitación.
8 de febrero 2022 Acta # 90 Socialixación derrotero capacitaciones
 23 de febrero 20222 Capacitación en Villa Santana- acuerdo 040 de 2021 FIC y algunos requisitos para formulación de proyectos.
EVIDEN"&amp;"CIA: https://drive.google.com/drive/folders/12YX8fIYy5A-IZboSXwMzC6xXwt4iK7cL")</f>
        <v>Para el corte de 01 de enero al 31 de marzo de 2022, desde la Secretarìa Privada , se continua  en alianza con al ESAP para capacitar a los presidentes de las JAC los días 18 y 25 de mayo empiezan las capacitaciones.
4 de febrero 2022 Acta # 80 Reunión introducción Contratista con alcances en capacitación.
8 de febrero 2022 Acta # 90 Socialixación derrotero capacitaciones
 23 de febrero 20222 Capacitación en Villa Santana- acuerdo 040 de 2021 FIC y algunos requisitos para formulación de proyectos.
EVIDENCIA: https://drive.google.com/drive/folders/12YX8fIYy5A-IZboSXwMzC6xXwt4iK7cL</v>
      </c>
      <c r="K99" s="11">
        <f ca="1">IFERROR(__xludf.DUMMYFUNCTION("""COMPUTED_VALUE"""),44650)</f>
        <v>44650</v>
      </c>
      <c r="L99" s="12">
        <f ca="1">IFERROR(__xludf.DUMMYFUNCTION("""COMPUTED_VALUE"""),0.98)</f>
        <v>0.98</v>
      </c>
      <c r="M99" s="10" t="str">
        <f ca="1">IFERROR(__xludf.DUMMYFUNCTION("""COMPUTED_VALUE"""),"Para el corte de 01 de Abril  al 30 de Junio  de 2022, desde la Secretarìa Privada, Continua realizando :
Reuniones equipo de trabajo:
20 de abril 2022 Acta # 382  Reunión para revisión de inclusión del tema de Veeduria Ciudadana en el plan de capacitacio"&amp;"nes.
9 de mayo de 2022 Reunión seguimiento capacitaciones ESAP
12 de mayo 2022 Acta # 481 Reunión revisión cronograma de capacitaciones de participación ciudadana.
23 de mayo 2022 Acta # 512 Revisión propuesta de capacitaciones PAAC 2022.
9 de junio 2022 "&amp;"Reunión  con S. Planeación para coordinar articulación de Capacitaciones a Ediles.
15 de junio Acta #617 Reunión con Planeación para coordinar cronograma de capacitaciones.
13 de junio 2022 Acta # 595 Socialización Cronograma de capacitaciones
Capacitaci"&amp;"ones:
 en articulación con la Secretaría de Desarrollo Social y Político, Secretaría de Planeación,  Junta Central coordinadora de las JALS   con la Escuela de  Frmación Ciudadana, para capacitar a los ediles de las JAL en ""Plan Anticorrución y Atención "&amp;"al Ciudadano PAAC"",  "" Documentos Reglamentarios funcionamiento de la JALs"", ""Veeduría Ciudadana""
12 de mayo 2022   de 2:00pm a 5:00 pm Capacitación para ediles de la comuna  del Café Plan de Desarrollo Comunal
23 de mayo 2022 Capacitación Plan Antic"&amp;"orrución y Atención al Ciudadano PAAC
7 de junio 2022 hora de 3 a 5pm capacitación ediles Arbia ""PAAC""
11 de junio 2022 hora de 10 a 11:30am capacitación ediles Altagracia"" PAAC""
11 de junio 2022 hora 11:30 a 12:30pm capacitación ediles Altagracia""Ve"&amp;"eduria Ciudadana""
21 de junio 2022 hora de 3 a 5:30 pm, capacitación ediles ""Formatos, Funcionamiento y Documents de la JALs""
22 de junio 2022 ""Formatos, Funcionamiento y Documents de la JALs""
23 de junio 2022 hora de 3 a 5 pm, Capacitación ediles Ar"&amp;"abia ""Formatos, Funcionamiento y Documents de la JALs""
28 de junio 2022  hora de 3 a 5 pm, ""Formatos, Funcionamiento y Documents de la JALs""
29 de junio 2022  hora de 3 a 5 pm, ""Formatos, Funcionamiento y Documents de la JALs""
30 de junio 2022  hora"&amp;" de 3 a 5 pm, ""Formatos, Funcionamiento y Documents de la JALs""
Responsable: Walter Reynel Rodriguez Tel  3216073071
EVIDENCIA: https://drive.google.com/drive/u/2/folders/1O-Gty2Atxsy502dBahOVw9qMAyrze7oj
Para el Corte del 01 de Abril al 30 de Junio "&amp;", Desde la Secretaría de Tecnologías de la Información y la Comunicación, se adelantan acciones que impulsan la innovación de la Alcaldía, en el marco del Plan de Desarrollo 2020 – 2023, con los programas Más gente con acceso a TIC y TICS para la producci"&amp;"ón y la ciudadanía. Para el segundo trimestre de 2022, se tiene:
1. Fase I cámaras de reconocimiento facial, la fase II se encuentra en proceso (proyecto CORI)
2. Postes inteligentes
3. Laboratorios de robótica  entregados
4. Laboratorio Steam entregado "&amp;"
5. Ampliación del espectro de LTE de 5 Mhz a 18 Mhz el cual fue entregado por el Mintic. 
6. En pruebas finales App “Gobierno de la ciudad” su última versión se encuentra en la tienda de google store.Dicha aplicación, el contribuyente y el público en gen"&amp;"eral pueda acceder a la información tributaria que comprende los servicios: Gestión de usuarios, Gestión de estado de cuenta y saldos de deuda, Gestión de consulta de acuerdos de pago, Gestión informativa y ayuda
")</f>
        <v xml:space="preserve">Para el corte de 01 de Abril  al 30 de Junio  de 2022, desde la Secretarìa Privada, Continua realizando :
Reuniones equipo de trabajo:
20 de abril 2022 Acta # 382  Reunión para revisión de inclusión del tema de Veeduria Ciudadana en el plan de capacitaciones.
9 de mayo de 2022 Reunión seguimiento capacitaciones ESAP
12 de mayo 2022 Acta # 481 Reunión revisión cronograma de capacitaciones de participación ciudadana.
23 de mayo 2022 Acta # 512 Revisión propuesta de capacitaciones PAAC 2022.
9 de junio 2022 Reunión  con S. Planeación para coordinar articulación de Capacitaciones a Ediles.
15 de junio Acta #617 Reunión con Planeación para coordinar cronograma de capacitaciones.
13 de junio 2022 Acta # 595 Socialización Cronograma de capacitaciones
Capacitaciones:
 en articulación con la Secretaría de Desarrollo Social y Político, Secretaría de Planeación,  Junta Central coordinadora de las JALS   con la Escuela de  Frmación Ciudadana, para capacitar a los ediles de las JAL en "Plan Anticorrución y Atención al Ciudadano PAAC",  " Documentos Reglamentarios funcionamiento de la JALs", "Veeduría Ciudadana"
12 de mayo 2022   de 2:00pm a 5:00 pm Capacitación para ediles de la comuna  del Café Plan de Desarrollo Comunal
23 de mayo 2022 Capacitación Plan Anticorrución y Atención al Ciudadano PAAC
7 de junio 2022 hora de 3 a 5pm capacitación ediles Arbia "PAAC"
11 de junio 2022 hora de 10 a 11:30am capacitación ediles Altagracia" PAAC"
11 de junio 2022 hora 11:30 a 12:30pm capacitación ediles Altagracia"Veeduria Ciudadana"
21 de junio 2022 hora de 3 a 5:30 pm, capacitación ediles "Formatos, Funcionamiento y Documents de la JALs"
22 de junio 2022 "Formatos, Funcionamiento y Documents de la JALs"
23 de junio 2022 hora de 3 a 5 pm, Capacitación ediles Arabia "Formatos, Funcionamiento y Documents de la JALs"
28 de junio 2022  hora de 3 a 5 pm, "Formatos, Funcionamiento y Documents de la JALs"
29 de junio 2022  hora de 3 a 5 pm, "Formatos, Funcionamiento y Documents de la JALs"
30 de junio 2022  hora de 3 a 5 pm, "Formatos, Funcionamiento y Documents de la JALs"
Responsable: Walter Reynel Rodriguez Tel  3216073071
EVIDENCIA: https://drive.google.com/drive/u/2/folders/1O-Gty2Atxsy502dBahOVw9qMAyrze7oj
Para el Corte del 01 de Abril al 30 de Junio , Desde la Secretaría de Tecnologías de la Información y la Comunicación, se adelantan acciones que impulsan la innovación de la Alcaldía, en el marco del Plan de Desarrollo 2020 – 2023, con los programas Más gente con acceso a TIC y TICS para la producción y la ciudadanía. Para el segundo trimestre de 2022, se tiene:
1. Fase I cámaras de reconocimiento facial, la fase II se encuentra en proceso (proyecto CORI)
2. Postes inteligentes
3. Laboratorios de robótica  entregados
4. Laboratorio Steam entregado 
5. Ampliación del espectro de LTE de 5 Mhz a 18 Mhz el cual fue entregado por el Mintic. 
6. En pruebas finales App “Gobierno de la ciudad” su última versión se encuentra en la tienda de google store.Dicha aplicación, el contribuyente y el público en general pueda acceder a la información tributaria que comprende los servicios: Gestión de usuarios, Gestión de estado de cuenta y saldos de deuda, Gestión de consulta de acuerdos de pago, Gestión informativa y ayuda
</v>
      </c>
      <c r="N99" s="11">
        <f ca="1">IFERROR(__xludf.DUMMYFUNCTION("""COMPUTED_VALUE"""),44742)</f>
        <v>44742</v>
      </c>
      <c r="O99" s="12">
        <f ca="1">IFERROR(__xludf.DUMMYFUNCTION("""COMPUTED_VALUE"""),0.97)</f>
        <v>0.97</v>
      </c>
      <c r="P99" s="10" t="str">
        <f ca="1">IFERROR(__xludf.DUMMYFUNCTION("""COMPUTED_VALUE"""),"Para el corte de 01 de enero al 31 de marzo de 2022, desde la Secretaría Privada  se continua  en alianza con al ESAP para capacitar a los presidentes de las JAC los días 18 y 25 de mayo empiezan las capacitaciones.
4 de febrero 2022 Acta # 80 Reunión int"&amp;"roducción Contratista con alcances en capacitación.
8 de febrero 2022 Acta # 90 Socialixación derrotero capacitaciones
 23 de febrero 20222 Capacitación en Villa Santana- acuerdo 040 de 2021 FIC y algunos requisitos para formulación de proyectos.
Para el"&amp;" Segundo trimestre del 2022 :
Reuniones equipo de trabajo:
20 de abril 2022 Acta # 382  Reunión para revisión de inclusión del tema de Veeduria Ciudadana en el plan de capacitaciones.
9 de mayo de 2022 Reunión seguimiento capacitaciones ESAP
12 de mayo 20"&amp;"22 Acta # 481 Reunión revisión cronograma de capacitaciones de participación ciudadana.
23 de mayo 2022 Acta # 512 Revisión propuesta de capacitaciones PAAC 2022.
9 de junio 2022 Reunión  con S. Planeación para coordinar articulación de Capacitaciones a E"&amp;"diles.
15 de junio Acta #617 Reunión con Planeación para coordinar cronograma de capacitaciones.
13 de junio 2022 Acta # 595 Socialización Cronograma de capacitaciones
Capacitaciones:
 en articulación con la Secretaría de Desarrollo Social y Político, Se"&amp;"cretaría de Planeación,  Junta Central coordinadora de las JALS   con la Escuela de  Frmación Ciudadana, para capacitar a los ediles de las JAL en ""Plan Anticorrución y Atención al Ciudadano PAAC"",  "" Documentos Reglamentarios funcionamiento de la JALs"&amp;""", ""Veeduría Ciudadana""
12 de mayo 2022   de 2:00pm a 5:00 pm Capacitación para ediles de la comuna  del Café Plan de Desarrollo Comunal
23 de mayo 2022 Capacitación Plan Anticorrución y Atención al Ciudadano PAAC
7 de junio 2022 hora de 3 a 5pm capaci"&amp;"tación ediles Arbia ""PAAC""
11 de junio 2022 hora de 10 a 11:30am capacitación ediles Altagracia"" PAAC""
11 de junio 2022 hora 11:30 a 12:30pm capacitación ediles Altagracia""Veeduria Ciudadana""
21 de junio 2022 hora de 3 a 5:30 pm, capacitación ediles"&amp;" ""Formatos, Funcionamiento y Documents de la JALs""
22 de junio 2022 ""Formatos, Funcionamiento y Documents de la JALs""
23 de junio 2022 hora de 3 a 5 pm, Capacitación ediles Arabia ""Formatos, Funcionamiento y Documents de la JALs""
28 de junio 2022  h"&amp;"ora de 3 a 5 pm, ""Formatos, Funcionamiento y Documents de la JALs""
29 de junio 2022  hora de 3 a 5 pm, ""Formatos, Funcionamiento y Documents de la JALs""
30 de junio 2022  hora de 3 a 5 pm, ""Formatos, Funcionamiento y Documents de la JALs""
8   jul 20"&amp;"22, Capacitación  estatuto  anticorrupción  y  rendición de  cuentas en el corregimiento de   Puerto Caldas
8  jul 2022, Capacitación  rendición de  cuentas  Y revisión de  presupuesta  en  la  comuna  jardín  
13   jul 2022 ,Capacitación  estatuto  antic"&amp;"orrupción  y  rendición de  cuentas  y  plan  de  desarrollo  comunal en el corregimiento la Estrella- la Palmilla.
14  jul 2022, Capacitación  comuna  río Otún  sobre  veeduría  ciudadana  y  plan  de  desarrollo  comunal en la comuna del Rio Otún
18  ju"&amp;"l 2022, Capacitación  estatuto  anticorrupción  y  rendición de  cuentas  en Perla del Otún
22 agosto 2022, Capacitación en riesgos en la comunidad y de Seguridad y Salud en el trabajo en Panorama I.
13 sept 2022, Capacitación riesgos que se pueden encont"&amp;"rar en la comunidad, en Panorama I
Responsable: Walter Reynel Rodríguez Tel 3216073071 hasta junio 2022.
                                        Diana Marcela Pérez, Secretaría Privada tel 3136663759 responsable después de agosto 2022 en las capacitacio"&amp;"nes SST
EVIDENCIA: https://drive.google.com/drive/u/2/folders/1O-Gty2Atxsy502dBahOVw9qMAyrze7oj
Participar en espacios nacionales e internacionales de gestión del conocimiento, documentarlos y compartir la experiencia al interior de la entidad.
Para e"&amp;"l corte de 01 de enero a 31 de marzo de 2022, La Secretaria Privada ha participado en gestión y realización de capacitaciones desde ASOCAPITALES para los diferentes funcionarios y contratistas del municipio de Pereira:
16 de marzo 2022 Conferencia ofrecid"&amp;"a por Aso capitales en temas relacionados con las modificaciones modificaciones al Régimen Disciplinario incorporadas en el Ley 1952 de 2019. Dr Hugo Alejandro Salazar Tel 3162476859
29 de marzo 2022 Aprendiendo de Regalías Dr Hugo Alejandro Salazar Tel 3"&amp;"162476859
29 de marzo 2022 Séptimo Encuentro del Equipo Transversal de Relación Estado Ciudadano. Paula Andrea Holguín Tel 3178940256.
del 19 de abril al 22 de abril Semana Sectorial de Gestión del Conocimiento e Innovación. Paula Andrea Holguín Tel 31789"&amp;"40256.
16 de mayo 2022 Capacitación Rendición de Cuentas función pública.
7 de junio 2022 Socialización de la Resolución 01117 del 5 de abril del 2022, la cual establece los lineamientos de transformación digital para estructurar las estrategias de Ciudad"&amp;"es y Territorios Inteligentes, transmitida de forma virtual por Asocapitales.Paula Andrea Holguín Tel 3178940256.
14 de junio 2022 Quinto Encuentro Transversal de Gestión del Conocimiento e Innovación. Paula Andrea Holguín Tel 3178940256.
22 de junio 2022"&amp;" Microtráfico y consumo de drogas: Impacto en la convivencia ciudadana y salud pública. Dr Hugo Alejandro Salazar Tel 3162476859. 28 de junio 2022 Capacitación SIGEP II.Paula Andrea Holguín Tel 3178940256.
EVIDENCIA: https://drive.google.com/drive/u/2/"&amp;"folders/1O-Gty2Atxsy502dBahOVw9qMAyrze7oj
")</f>
        <v xml:space="preserve">Para el corte de 01 de enero al 31 de marzo de 2022, desde la Secretaría Privada  se continua  en alianza con al ESAP para capacitar a los presidentes de las JAC los días 18 y 25 de mayo empiezan las capacitaciones.
4 de febrero 2022 Acta # 80 Reunión introducción Contratista con alcances en capacitación.
8 de febrero 2022 Acta # 90 Socialixación derrotero capacitaciones
 23 de febrero 20222 Capacitación en Villa Santana- acuerdo 040 de 2021 FIC y algunos requisitos para formulación de proyectos.
Para el Segundo trimestre del 2022 :
Reuniones equipo de trabajo:
20 de abril 2022 Acta # 382  Reunión para revisión de inclusión del tema de Veeduria Ciudadana en el plan de capacitaciones.
9 de mayo de 2022 Reunión seguimiento capacitaciones ESAP
12 de mayo 2022 Acta # 481 Reunión revisión cronograma de capacitaciones de participación ciudadana.
23 de mayo 2022 Acta # 512 Revisión propuesta de capacitaciones PAAC 2022.
9 de junio 2022 Reunión  con S. Planeación para coordinar articulación de Capacitaciones a Ediles.
15 de junio Acta #617 Reunión con Planeación para coordinar cronograma de capacitaciones.
13 de junio 2022 Acta # 595 Socialización Cronograma de capacitaciones
Capacitaciones:
 en articulación con la Secretaría de Desarrollo Social y Político, Secretaría de Planeación,  Junta Central coordinadora de las JALS   con la Escuela de  Frmación Ciudadana, para capacitar a los ediles de las JAL en "Plan Anticorrución y Atención al Ciudadano PAAC",  " Documentos Reglamentarios funcionamiento de la JALs", "Veeduría Ciudadana"
12 de mayo 2022   de 2:00pm a 5:00 pm Capacitación para ediles de la comuna  del Café Plan de Desarrollo Comunal
23 de mayo 2022 Capacitación Plan Anticorrución y Atención al Ciudadano PAAC
7 de junio 2022 hora de 3 a 5pm capacitación ediles Arbia "PAAC"
11 de junio 2022 hora de 10 a 11:30am capacitación ediles Altagracia" PAAC"
11 de junio 2022 hora 11:30 a 12:30pm capacitación ediles Altagracia"Veeduria Ciudadana"
21 de junio 2022 hora de 3 a 5:30 pm, capacitación ediles "Formatos, Funcionamiento y Documents de la JALs"
22 de junio 2022 "Formatos, Funcionamiento y Documents de la JALs"
23 de junio 2022 hora de 3 a 5 pm, Capacitación ediles Arabia "Formatos, Funcionamiento y Documents de la JALs"
28 de junio 2022  hora de 3 a 5 pm, "Formatos, Funcionamiento y Documents de la JALs"
29 de junio 2022  hora de 3 a 5 pm, "Formatos, Funcionamiento y Documents de la JALs"
30 de junio 2022  hora de 3 a 5 pm, "Formatos, Funcionamiento y Documents de la JALs"
8   jul 2022, Capacitación  estatuto  anticorrupción  y  rendición de  cuentas en el corregimiento de   Puerto Caldas
8  jul 2022, Capacitación  rendición de  cuentas  Y revisión de  presupuesta  en  la  comuna  jardín  
13   jul 2022 ,Capacitación  estatuto  anticorrupción  y  rendición de  cuentas  y  plan  de  desarrollo  comunal en el corregimiento la Estrella- la Palmilla.
14  jul 2022, Capacitación  comuna  río Otún  sobre  veeduría  ciudadana  y  plan  de  desarrollo  comunal en la comuna del Rio Otún
18  jul 2022, Capacitación  estatuto  anticorrupción  y  rendición de  cuentas  en Perla del Otún
22 agosto 2022, Capacitación en riesgos en la comunidad y de Seguridad y Salud en el trabajo en Panorama I.
13 sept 2022, Capacitación riesgos que se pueden encontrar en la comunidad, en Panorama I
Responsable: Walter Reynel Rodríguez Tel 3216073071 hasta junio 2022.
                                        Diana Marcela Pérez, Secretaría Privada tel 3136663759 responsable después de agosto 2022 en las capacitaciones SST
EVIDENCIA: https://drive.google.com/drive/u/2/folders/1O-Gty2Atxsy502dBahOVw9qMAyrze7oj
Participar en espacios nacionales e internacionales de gestión del conocimiento, documentarlos y compartir la experiencia al interior de la entidad.
Para el corte de 01 de enero a 31 de marzo de 2022, La Secretaria Privada ha participado en gestión y realización de capacitaciones desde ASOCAPITALES para los diferentes funcionarios y contratistas del municipio de Pereira:
16 de marzo 2022 Conferencia ofrecida por Aso capitales en temas relacionados con las modificaciones modificaciones al Régimen Disciplinario incorporadas en el Ley 1952 de 2019. Dr Hugo Alejandro Salazar Tel 3162476859
29 de marzo 2022 Aprendiendo de Regalías Dr Hugo Alejandro Salazar Tel 3162476859
29 de marzo 2022 Séptimo Encuentro del Equipo Transversal de Relación Estado Ciudadano. Paula Andrea Holguín Tel 3178940256.
del 19 de abril al 22 de abril Semana Sectorial de Gestión del Conocimiento e Innovación. Paula Andrea Holguín Tel 3178940256.
16 de mayo 2022 Capacitación Rendición de Cuentas función pública.
7 de junio 2022 Socialización de la Resolución 01117 del 5 de abril del 2022, la cual establece los lineamientos de transformación digital para estructurar las estrategias de Ciudades y Territorios Inteligentes, transmitida de forma virtual por Asocapitales.Paula Andrea Holguín Tel 3178940256.
14 de junio 2022 Quinto Encuentro Transversal de Gestión del Conocimiento e Innovación. Paula Andrea Holguín Tel 3178940256.
22 de junio 2022 Microtráfico y consumo de drogas: Impacto en la convivencia ciudadana y salud pública. Dr Hugo Alejandro Salazar Tel 3162476859. 28 de junio 2022 Capacitación SIGEP II.Paula Andrea Holguín Tel 3178940256.
EVIDENCIA: https://drive.google.com/drive/u/2/folders/1O-Gty2Atxsy502dBahOVw9qMAyrze7oj
</v>
      </c>
      <c r="Q99" s="11">
        <f ca="1">IFERROR(__xludf.DUMMYFUNCTION("""COMPUTED_VALUE"""),44834)</f>
        <v>44834</v>
      </c>
      <c r="R99" s="12">
        <f ca="1">IFERROR(__xludf.DUMMYFUNCTION("""COMPUTED_VALUE"""),0.97)</f>
        <v>0.97</v>
      </c>
      <c r="S99" s="10"/>
      <c r="T99" s="11">
        <f ca="1">IFERROR(__xludf.DUMMYFUNCTION("""COMPUTED_VALUE"""),44925)</f>
        <v>44925</v>
      </c>
      <c r="U99" s="10"/>
    </row>
    <row r="100" spans="1:21" ht="37.5" customHeight="1" x14ac:dyDescent="0.2">
      <c r="A100" s="10" t="str">
        <f ca="1">IFERROR(__xludf.DUMMYFUNCTION("""COMPUTED_VALUE"""),"Gestión del Conocimiento y la Innovación")</f>
        <v>Gestión del Conocimiento y la Innovación</v>
      </c>
      <c r="B100" s="10" t="str">
        <f ca="1">IFERROR(__xludf.DUMMYFUNCTION("""COMPUTED_VALUE"""),"Gestión del Conocimiento y la Innovación")</f>
        <v>Gestión del Conocimiento y la Innovación</v>
      </c>
      <c r="C100" s="10" t="str">
        <f ca="1">IFERROR(__xludf.DUMMYFUNCTION("""COMPUTED_VALUE"""),"Participar en espacios nacionales e internacionales de gestión del conocimiento, documentarlos y compartir la experiencia al interior de la entidad.")</f>
        <v>Participar en espacios nacionales e internacionales de gestión del conocimiento, documentarlos y compartir la experiencia al interior de la entidad.</v>
      </c>
      <c r="D100" s="10" t="str">
        <f ca="1">IFERROR(__xludf.DUMMYFUNCTION("""COMPUTED_VALUE"""),"Espacios nacionales e internacionales de gestión del conocimiento, los documenta y comparte la experiencia al interior de la entidad.")</f>
        <v>Espacios nacionales e internacionales de gestión del conocimiento, los documenta y comparte la experiencia al interior de la entidad.</v>
      </c>
      <c r="E100" s="10" t="str">
        <f ca="1">IFERROR(__xludf.DUMMYFUNCTION("""COMPUTED_VALUE"""),"No. Eventos nacionales e internacionales con participación compartidos y socializados al interior de la Alcaldía /No. Eventos nacionales e internacionales programados")</f>
        <v>No. Eventos nacionales e internacionales con participación compartidos y socializados al interior de la Alcaldía /No. Eventos nacionales e internacionales programados</v>
      </c>
      <c r="F100" s="11">
        <f ca="1">IFERROR(__xludf.DUMMYFUNCTION("""COMPUTED_VALUE"""),44588)</f>
        <v>44588</v>
      </c>
      <c r="G100" s="11">
        <f ca="1">IFERROR(__xludf.DUMMYFUNCTION("""COMPUTED_VALUE"""),44925)</f>
        <v>44925</v>
      </c>
      <c r="H100" s="10" t="str">
        <f ca="1">IFERROR(__xludf.DUMMYFUNCTION("""COMPUTED_VALUE"""),"Dirección Administrativa de Talento Humano -Transversal con las demás Secretarias de la Entidad")</f>
        <v>Dirección Administrativa de Talento Humano -Transversal con las demás Secretarias de la Entidad</v>
      </c>
      <c r="I100" s="12">
        <f ca="1">IFERROR(__xludf.DUMMYFUNCTION("""COMPUTED_VALUE"""),0.75)</f>
        <v>0.75</v>
      </c>
      <c r="J100" s="10" t="str">
        <f ca="1">IFERROR(__xludf.DUMMYFUNCTION("""COMPUTED_VALUE"""),"Para el corte de 01 de enero a 31 de marzo de 2022, La Secretaria Privada , ha participado en gestión y realización de capacitaciones desde ASOCAPITALES para los diferentes funcionarios y contratistas del municipio de Pereira:
16 de marzo 2022 Conferencia"&amp;" ofrecida por Asocapitales en temas relacionados con las modificaciones modificaciones al Régimen Disciplinario incorporadas en el Ley 1952 de 2019. Dr Hugo Alejandro Salazar Tel 3162476859
29 de marzo 2022 Aprendiendo de Regalias  Dr Hugo Alejandro Salaz"&amp;"ar Tel 3162476859
29 de marzo 2022  Séptimo Encuentro del Equipo Transversal de Relación Estado Ciudadano Paula Andrea Holguín Tel 3178940256
EVIDENCIA: https://drive.google.com/drive/folders/1O-Gty2Atxsy502dBahOVw9qMAyrze7oj")</f>
        <v>Para el corte de 01 de enero a 31 de marzo de 2022, La Secretaria Privada , ha participado en gestión y realización de capacitaciones desde ASOCAPITALES para los diferentes funcionarios y contratistas del municipio de Pereira:
16 de marzo 2022 Conferencia ofrecida por Asocapitales en temas relacionados con las modificaciones modificaciones al Régimen Disciplinario incorporadas en el Ley 1952 de 2019. Dr Hugo Alejandro Salazar Tel 3162476859
29 de marzo 2022 Aprendiendo de Regalias  Dr Hugo Alejandro Salazar Tel 3162476859
29 de marzo 2022  Séptimo Encuentro del Equipo Transversal de Relación Estado Ciudadano Paula Andrea Holguín Tel 3178940256
EVIDENCIA: https://drive.google.com/drive/folders/1O-Gty2Atxsy502dBahOVw9qMAyrze7oj</v>
      </c>
      <c r="K100" s="11">
        <f ca="1">IFERROR(__xludf.DUMMYFUNCTION("""COMPUTED_VALUE"""),44650)</f>
        <v>44650</v>
      </c>
      <c r="L100" s="12">
        <f ca="1">IFERROR(__xludf.DUMMYFUNCTION("""COMPUTED_VALUE"""),0.75)</f>
        <v>0.75</v>
      </c>
      <c r="M100" s="10" t="str">
        <f ca="1">IFERROR(__xludf.DUMMYFUNCTION("""COMPUTED_VALUE"""),"Para el corte de 01 de enero a 31 de marzo de 2022, La Secretaria Privada , ha participado en gestión y realización de capacitaciones desde ASOCAPITALES para los diferentes funcionarios y contratistas del municipio de Pereira:
16 de marzo 2022 Conferencia"&amp;" ofrecida por Asocapitales en temas relacionados con las modificaciones modificaciones al Régimen Disciplinario incorporadas en el Ley 1952 de 2019. Dr Hugo Alejandro Salazar Tel 3162476859
29 de marzo 2022 Aprendiendo de Regalias  Dr Hugo Alejandro Salaz"&amp;"ar Tel 3162476859
29 de marzo 2022  Séptimo Encuentro del Equipo Transversal de Relación Estado Ciudadano Paula Andrea Holguín Tel 3178940256
EVIDENCIA: https://drive.google.com/drive/folders/1O-Gty2Atxsy502dBahOVw9qMAyrze7oj")</f>
        <v>Para el corte de 01 de enero a 31 de marzo de 2022, La Secretaria Privada , ha participado en gestión y realización de capacitaciones desde ASOCAPITALES para los diferentes funcionarios y contratistas del municipio de Pereira:
16 de marzo 2022 Conferencia ofrecida por Asocapitales en temas relacionados con las modificaciones modificaciones al Régimen Disciplinario incorporadas en el Ley 1952 de 2019. Dr Hugo Alejandro Salazar Tel 3162476859
29 de marzo 2022 Aprendiendo de Regalias  Dr Hugo Alejandro Salazar Tel 3162476859
29 de marzo 2022  Séptimo Encuentro del Equipo Transversal de Relación Estado Ciudadano Paula Andrea Holguín Tel 3178940256
EVIDENCIA: https://drive.google.com/drive/folders/1O-Gty2Atxsy502dBahOVw9qMAyrze7oj</v>
      </c>
      <c r="N100" s="11">
        <f ca="1">IFERROR(__xludf.DUMMYFUNCTION("""COMPUTED_VALUE"""),44742)</f>
        <v>44742</v>
      </c>
      <c r="O100" s="12">
        <f ca="1">IFERROR(__xludf.DUMMYFUNCTION("""COMPUTED_VALUE"""),0.87)</f>
        <v>0.87</v>
      </c>
      <c r="P100"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0" s="11">
        <f ca="1">IFERROR(__xludf.DUMMYFUNCTION("""COMPUTED_VALUE"""),44834)</f>
        <v>44834</v>
      </c>
      <c r="R100" s="12">
        <f ca="1">IFERROR(__xludf.DUMMYFUNCTION("""COMPUTED_VALUE"""),0.87)</f>
        <v>0.87</v>
      </c>
      <c r="S100" s="10" t="str">
        <f ca="1">IFERROR(__xludf.DUMMYFUNCTION("""COMPUTED_VALUE"""),"Participacion en la construccion del plan nacional de desarrollo")</f>
        <v>Participacion en la construccion del plan nacional de desarrollo</v>
      </c>
      <c r="T100" s="11">
        <f ca="1">IFERROR(__xludf.DUMMYFUNCTION("""COMPUTED_VALUE"""),44925)</f>
        <v>44925</v>
      </c>
      <c r="U100" s="10" t="str">
        <f ca="1">IFERROR(__xludf.DUMMYFUNCTION("""COMPUTED_VALUE"""),"No se reporto evidencia")</f>
        <v>No se reporto evidencia</v>
      </c>
    </row>
    <row r="101" spans="1:21" ht="37.5" customHeight="1" x14ac:dyDescent="0.2">
      <c r="A101" s="10" t="str">
        <f ca="1">IFERROR(__xludf.DUMMYFUNCTION("""COMPUTED_VALUE"""),"Gestión del Conocimiento y la Innovación")</f>
        <v>Gestión del Conocimiento y la Innovación</v>
      </c>
      <c r="B101" s="10" t="str">
        <f ca="1">IFERROR(__xludf.DUMMYFUNCTION("""COMPUTED_VALUE"""),"Gestión del Conocimiento y la Innovación")</f>
        <v>Gestión del Conocimiento y la Innovación</v>
      </c>
      <c r="C101" s="10" t="str">
        <f ca="1">IFERROR(__xludf.DUMMYFUNCTION("""COMPUTED_VALUE"""),"Participar activamente en redes de conocimiento, comunidades de práctica o equipos transversales para intercambiar experiencias, fomentar el aprendizaje y la innovación pública, además de plantear soluciones a problemas de la administración pública.")</f>
        <v>Participar activamente en redes de conocimiento, comunidades de práctica o equipos transversales para intercambiar experiencias, fomentar el aprendizaje y la innovación pública, además de plantear soluciones a problemas de la administración pública.</v>
      </c>
      <c r="D101" s="10" t="str">
        <f ca="1">IFERROR(__xludf.DUMMYFUNCTION("""COMPUTED_VALUE"""),"Participa, transfiere conocimiento e intercambia experiencias en redes, comunidades de práctica. Fomenta el aprendizaje y la innovación pública, además, plantea soluciones a problemas.")</f>
        <v>Participa, transfiere conocimiento e intercambia experiencias en redes, comunidades de práctica. Fomenta el aprendizaje y la innovación pública, además, plantea soluciones a problemas.</v>
      </c>
      <c r="E101" s="10" t="str">
        <f ca="1">IFERROR(__xludf.DUMMYFUNCTION("""COMPUTED_VALUE"""),"No. Talleres e Intercambios del Equipo transversal realizados/No. Talleres e Intercambios del Equipo transversal de experiencias y aprendizaje dentro de la entidad programados.")</f>
        <v>No. Talleres e Intercambios del Equipo transversal realizados/No. Talleres e Intercambios del Equipo transversal de experiencias y aprendizaje dentro de la entidad programados.</v>
      </c>
      <c r="F101" s="11">
        <f ca="1">IFERROR(__xludf.DUMMYFUNCTION("""COMPUTED_VALUE"""),44588)</f>
        <v>44588</v>
      </c>
      <c r="G101" s="11">
        <f ca="1">IFERROR(__xludf.DUMMYFUNCTION("""COMPUTED_VALUE"""),44925)</f>
        <v>44925</v>
      </c>
      <c r="H101" s="10" t="str">
        <f ca="1">IFERROR(__xludf.DUMMYFUNCTION("""COMPUTED_VALUE"""),"Dirección Administrativa de Talento Humano -Transversal con las demás Secretarias de la Entidad")</f>
        <v>Dirección Administrativa de Talento Humano -Transversal con las demás Secretarias de la Entidad</v>
      </c>
      <c r="I101" s="12">
        <f ca="1">IFERROR(__xludf.DUMMYFUNCTION("""COMPUTED_VALUE"""),0.9)</f>
        <v>0.9</v>
      </c>
      <c r="J101" s="10" t="str">
        <f ca="1">IFERROR(__xludf.DUMMYFUNCTION("""COMPUTED_VALUE"""),"Para la vigencia del 01 de enero al 31 de marzo de 2022, La Secretarìa de DEPORTE Y RECREACION: Continua participando en las redes de conocimeinto locales, nacionales e internacionales donde se socializa y retroalimenta los aprendizajes.")</f>
        <v>Para la vigencia del 01 de enero al 31 de marzo de 2022, La Secretarìa de DEPORTE Y RECREACION: Continua participando en las redes de conocimeinto locales, nacionales e internacionales donde se socializa y retroalimenta los aprendizajes.</v>
      </c>
      <c r="K101" s="11">
        <f ca="1">IFERROR(__xludf.DUMMYFUNCTION("""COMPUTED_VALUE"""),44650)</f>
        <v>44650</v>
      </c>
      <c r="L101" s="12">
        <f ca="1">IFERROR(__xludf.DUMMYFUNCTION("""COMPUTED_VALUE"""),0.9)</f>
        <v>0.9</v>
      </c>
      <c r="M101" s="10" t="str">
        <f ca="1">IFERROR(__xludf.DUMMYFUNCTION("""COMPUTED_VALUE""")," Para la vigencia del 01 de enero al 31 de marzo de 2022, La Secretarìa de DEPORTE Y RECREACION: Continua participando en las redes de conocimeinto locales, nacionales e internacionales donde se socializa y retroalimenta los aprendizajes.")</f>
        <v xml:space="preserve"> Para la vigencia del 01 de enero al 31 de marzo de 2022, La Secretarìa de DEPORTE Y RECREACION: Continua participando en las redes de conocimeinto locales, nacionales e internacionales donde se socializa y retroalimenta los aprendizajes.</v>
      </c>
      <c r="N101" s="11">
        <f ca="1">IFERROR(__xludf.DUMMYFUNCTION("""COMPUTED_VALUE"""),44742)</f>
        <v>44742</v>
      </c>
      <c r="O101" s="12">
        <f ca="1">IFERROR(__xludf.DUMMYFUNCTION("""COMPUTED_VALUE"""),0.95)</f>
        <v>0.95</v>
      </c>
      <c r="P101" s="10" t="str">
        <f ca="1">IFERROR(__xludf.DUMMYFUNCTION("""COMPUTED_VALUE"""),"La Direccion de Talento Humano coordino y gestiono  reunión virtual con la Dra Zoraida Rueda Penagos  Comunicadora Social, Periodista y Docente de la Escuela Superior de Administración Publica y el master  Carlos Gutierrez Cuevas autor del libro gestion d"&amp;"el Conocimiento en la Pratica de la Ciudad de Bogotá con el ánimo de compartir estrategias para fortalecer la política de Gestión del Conocimiento y la Innovación de la Secretaria y que lidera la Dirección de Talento humano.---La Direccion de Talento Huma"&amp;"no  participo en el seminario sobre la política de Gestión del Conocimiento y la Innovación  que gestiono la Dirección de  talento Humano con la Escuela Superior de Administración Publica en el municipio de Dosquebradas con el animo de intercambiar conoci"&amp;"mientos y fortalecer la implementación de la política en la Secretaria de Gestión  Administrativa de la Alcaldía de Pereira. La evdencia se encuentra en el informe 1 de activiades de la contratista Marisol Peña Sanchez. Correo Direccion de talento humano."&amp;" direcciontalentohumano@pereira.gov.co")</f>
        <v>La Direccion de Talento Humano coordino y gestiono  reunión virtual con la Dra Zoraida Rueda Penagos  Comunicadora Social, Periodista y Docente de la Escuela Superior de Administración Publica y el master  Carlos Gutierrez Cuevas autor del libro gestion del Conocimiento en la Pratica de la Ciudad de Bogotá con el ánimo de compartir estrategias para fortalecer la política de Gestión del Conocimiento y la Innovación de la Secretaria y que lidera la Dirección de Talento humano.---La Direccion de Talento Humano  participo en el seminario sobre la política de Gestión del Conocimiento y la Innovación  que gestiono la Dirección de  talento Humano con la Escuela Superior de Administración Publica en el municipio de Dosquebradas con el animo de intercambiar conocimientos y fortalecer la implementación de la política en la Secretaria de Gestión  Administrativa de la Alcaldía de Pereira. La evdencia se encuentra en el informe 1 de activiades de la contratista Marisol Peña Sanchez. Correo Direccion de talento humano. direcciontalentohumano@pereira.gov.co</v>
      </c>
      <c r="Q101" s="11">
        <f ca="1">IFERROR(__xludf.DUMMYFUNCTION("""COMPUTED_VALUE"""),44834)</f>
        <v>44834</v>
      </c>
      <c r="R101" s="12">
        <f ca="1">IFERROR(__xludf.DUMMYFUNCTION("""COMPUTED_VALUE"""),0.97)</f>
        <v>0.97</v>
      </c>
      <c r="S101" s="10" t="str">
        <f ca="1">IFERROR(__xludf.DUMMYFUNCTION("""COMPUTED_VALUE"""),"La Dirección de Gestión del Riesgo en temas de fomentación del aprendizaje y la innovación, participa en el comité de educación ambiental COMEDA, que lidera la secretaría de educación.
Como evidencia están las actas de dicho comité.")</f>
        <v>La Dirección de Gestión del Riesgo en temas de fomentación del aprendizaje y la innovación, participa en el comité de educación ambiental COMEDA, que lidera la secretaría de educación.
Como evidencia están las actas de dicho comité.</v>
      </c>
      <c r="T101" s="11">
        <f ca="1">IFERROR(__xludf.DUMMYFUNCTION("""COMPUTED_VALUE"""),44925)</f>
        <v>44925</v>
      </c>
      <c r="U101" s="10"/>
    </row>
    <row r="102" spans="1:21" ht="37.5" customHeight="1" x14ac:dyDescent="0.2">
      <c r="A102" s="10" t="str">
        <f ca="1">IFERROR(__xludf.DUMMYFUNCTION("""COMPUTED_VALUE"""),"Gestión del Conocimiento y la Innovación")</f>
        <v>Gestión del Conocimiento y la Innovación</v>
      </c>
      <c r="B102" s="10" t="str">
        <f ca="1">IFERROR(__xludf.DUMMYFUNCTION("""COMPUTED_VALUE"""),"Gestión del Conocimiento y la Innovación")</f>
        <v>Gestión del Conocimiento y la Innovación</v>
      </c>
      <c r="C102" s="10" t="str">
        <f ca="1">IFERROR(__xludf.DUMMYFUNCTION("""COMPUTED_VALUE"""),"Contar con alianzas para fomentar soluciones innovadoras, a través de nuevos o mejorados métodos y tecnologías para la entidad.")</f>
        <v>Contar con alianzas para fomentar soluciones innovadoras, a través de nuevos o mejorados métodos y tecnologías para la entidad.</v>
      </c>
      <c r="D102" s="10" t="str">
        <f ca="1">IFERROR(__xludf.DUMMYFUNCTION("""COMPUTED_VALUE"""),"Alianzas estratégicas y ejecuta acciones que generan soluciones innovadoras para la entidad a través de nuevos o mejorados métodos y tecnologías. Además, hace seguimiento a los planes de trabajo conjunto.")</f>
        <v>Alianzas estratégicas y ejecuta acciones que generan soluciones innovadoras para la entidad a través de nuevos o mejorados métodos y tecnologías. Además, hace seguimiento a los planes de trabajo conjunto.</v>
      </c>
      <c r="E102" s="10" t="str">
        <f ca="1">IFERROR(__xludf.DUMMYFUNCTION("""COMPUTED_VALUE"""),"No. Alianzas ejecutadas /No Alianzas contactadas para soluciones innovadoras")</f>
        <v>No. Alianzas ejecutadas /No Alianzas contactadas para soluciones innovadoras</v>
      </c>
      <c r="F102" s="11">
        <f ca="1">IFERROR(__xludf.DUMMYFUNCTION("""COMPUTED_VALUE"""),44588)</f>
        <v>44588</v>
      </c>
      <c r="G102" s="11">
        <f ca="1">IFERROR(__xludf.DUMMYFUNCTION("""COMPUTED_VALUE"""),44925)</f>
        <v>44925</v>
      </c>
      <c r="H102" s="10" t="str">
        <f ca="1">IFERROR(__xludf.DUMMYFUNCTION("""COMPUTED_VALUE"""),"Dirección Administrativa de Talento Humano -Transversal con las demás Secretarias de la Entidad")</f>
        <v>Dirección Administrativa de Talento Humano -Transversal con las demás Secretarias de la Entidad</v>
      </c>
      <c r="I102" s="12">
        <f ca="1">IFERROR(__xludf.DUMMYFUNCTION("""COMPUTED_VALUE"""),0.95)</f>
        <v>0.95</v>
      </c>
      <c r="J102" s="10" t="str">
        <f ca="1">IFERROR(__xludf.DUMMYFUNCTION("""COMPUTED_VALUE"""),"Para la vigencia del 01 de enero al 31 de marzo de 2022, La Secretarìa de DEPORTE Y RECREACION;  a la fecha se tiene alianzas con UTP. U. AREA ANDINA, U. CATOLICA, SENA,. CEDE NORTE.
 ")</f>
        <v xml:space="preserve">Para la vigencia del 01 de enero al 31 de marzo de 2022, La Secretarìa de DEPORTE Y RECREACION;  a la fecha se tiene alianzas con UTP. U. AREA ANDINA, U. CATOLICA, SENA,. CEDE NORTE.
 </v>
      </c>
      <c r="K102" s="11">
        <f ca="1">IFERROR(__xludf.DUMMYFUNCTION("""COMPUTED_VALUE"""),44650)</f>
        <v>44650</v>
      </c>
      <c r="L102" s="12">
        <f ca="1">IFERROR(__xludf.DUMMYFUNCTION("""COMPUTED_VALUE"""),0.95)</f>
        <v>0.95</v>
      </c>
      <c r="M102" s="10" t="str">
        <f ca="1">IFERROR(__xludf.DUMMYFUNCTION("""COMPUTED_VALUE"""),"Para la vigencia del 01 de enero al 31 de marzo de 2022, La Secretarìa de DEPORTE Y RECREACION;  a la fecha se tiene alianzas con UTP. U. AREA ANDINA, U. CATOLICA, SENA,. CEDE NORTE.
 ")</f>
        <v xml:space="preserve">Para la vigencia del 01 de enero al 31 de marzo de 2022, La Secretarìa de DEPORTE Y RECREACION;  a la fecha se tiene alianzas con UTP. U. AREA ANDINA, U. CATOLICA, SENA,. CEDE NORTE.
 </v>
      </c>
      <c r="N102" s="11">
        <f ca="1">IFERROR(__xludf.DUMMYFUNCTION("""COMPUTED_VALUE"""),44742)</f>
        <v>44742</v>
      </c>
      <c r="O102" s="12">
        <f ca="1">IFERROR(__xludf.DUMMYFUNCTION("""COMPUTED_VALUE"""),0.97)</f>
        <v>0.97</v>
      </c>
      <c r="P102" s="10" t="str">
        <f ca="1">IFERROR(__xludf.DUMMYFUNCTION("""COMPUTED_VALUE"""),"La Direccion de talento Humano coordino y gestiono  reunión una reunion con el funcionario Antonio Posada de Recreacion y Deportes  donde se compartieron unas practicas de exito en la gestion del conocimiento que pueden ser replicadas a otras secretarias,"&amp;" se intercambia un formato de google form con el animo de ser revisado, ajustado y replicado entre las de mas secretarias de la alcaldia de Pereira.")</f>
        <v>La Direccion de talento Humano coordino y gestiono  reunión una reunion con el funcionario Antonio Posada de Recreacion y Deportes  donde se compartieron unas practicas de exito en la gestion del conocimiento que pueden ser replicadas a otras secretarias, se intercambia un formato de google form con el animo de ser revisado, ajustado y replicado entre las de mas secretarias de la alcaldia de Pereira.</v>
      </c>
      <c r="Q102" s="11">
        <f ca="1">IFERROR(__xludf.DUMMYFUNCTION("""COMPUTED_VALUE"""),44834)</f>
        <v>44834</v>
      </c>
      <c r="R102" s="12">
        <f ca="1">IFERROR(__xludf.DUMMYFUNCTION("""COMPUTED_VALUE"""),0.99)</f>
        <v>0.99</v>
      </c>
      <c r="S102" s="10" t="str">
        <f ca="1">IFERROR(__xludf.DUMMYFUNCTION("""COMPUTED_VALUE"""),"Desde la secretari de deportes  se tienen redes y alianzas para ocmpartir experiencias con la Secretaria Departamental de Deporte y Cultura sobre la organización, e implementación de Juegos Intercolegiados, igualmente con la Red Colombiana de Actividad Fí"&amp;"sica REDCOLAF, tambien con el equipo Nacional y departamental de Juegos nacionales confomrado por el ministerio de deprote.Evidencias https://drive.google.com/drive/folders/1XOPP4VV2rh_n-rFjGOWAIg8M05c4zOI8    Desde la secretari de deprote se tienen redes"&amp;" y alianzas para ocmpartir experiencias con la Secretaria Departamental de Deporte y Cultura sobre la organización, e implementación de Juegos Intercolegiados, igualmente con la Red Colombiana de Actividad Física REDCOLAF, tambien con el equipo Nacional y"&amp;" departamental de Juegos nacionales confomrado por el ministerio de deportes Evidencias https://drive.google.com/drive/folders/1XOPP4VV2rh_n-rFjGOWAIg8M05c4zOI8 ------Desde la Dirección de Gestión de Gestión del Riesgo se cuenta con un Sistema de Alertas "&amp;"Tempranas, que permiten tanto en la parte geotécnica e hidrológica, establecer posibles escenarios de riesgo que puedan desencadenar en emergencias y poder así, prevenir y tomar acciones preventivas que logre disminuir las consecuencias por estos fenomeno"&amp;"s.
Como evidencia se cuenta con el proceso contractual de adquisición de los equipos y de su funcionamiento por medio de convenio con la UTP. 
https://drive.google.com/drive/folders/1YG4j1db1JgadKapuQO6Hzf4cH_a8XpdR?usp=share_link --------El Sistema de v"&amp;"ideovigilancia del municipio (CCTV) hace parte del sistema SIES (Sistema integrado de emergencias y seguridad) el cual fue implementado en el municipio de Pereira en el año 2016 en el Comando de la Policía Metropolitana, constando de una sala desde donde "&amp;"se monitoreaban 297 cámaras, la línea 123 y la atención de emergencias de parte de la Policía Nacional.
El proyecto de Fortalecimiento de videovigilancia, buscó integrar 200 cámaras nuevas de última tecnología utilizando un software que permite la identi"&amp;"ficación y reconocimiento de placas, rostros y cuerpos, además, de la integración con la plataforma SECAD de la Policía, en la cual se registran los eventos o situaciones ciudadanas, articulando mejor el sistema para la atención y visualización oportuna d"&amp;"e los acontecimientos.
https://www.pereira.gov.co/publicaciones/5205/alcalde-carlos-maya-hace-entrega-a-la-ciudad-de-200-camaras-de-reconocimiento-facial/")</f>
        <v>Desde la secretari de deportes  se tienen redes y alianzas para ocmpartir experiencias con la Secretaria Departamental de Deporte y Cultura sobre la organización, e implementación de Juegos Intercolegiados, igualmente con la Red Colombiana de Actividad Física REDCOLAF, tambien con el equipo Nacional y departamental de Juegos nacionales confomrado por el ministerio de deprote.Evidencias https://drive.google.com/drive/folders/1XOPP4VV2rh_n-rFjGOWAIg8M05c4zOI8    Desde la secretari de deprote se tienen redes y alianzas para ocmpartir experiencias con la Secretaria Departamental de Deporte y Cultura sobre la organización, e implementación de Juegos Intercolegiados, igualmente con la Red Colombiana de Actividad Física REDCOLAF, tambien con el equipo Nacional y departamental de Juegos nacionales confomrado por el ministerio de deportes Evidencias https://drive.google.com/drive/folders/1XOPP4VV2rh_n-rFjGOWAIg8M05c4zOI8 ------Desde la Dirección de Gestión de Gestión del Riesgo se cuenta con un Sistema de Alertas Tempranas, que permiten tanto en la parte geotécnica e hidrológica, establecer posibles escenarios de riesgo que puedan desencadenar en emergencias y poder así, prevenir y tomar acciones preventivas que logre disminuir las consecuencias por estos fenomenos.
Como evidencia se cuenta con el proceso contractual de adquisición de los equipos y de su funcionamiento por medio de convenio con la UTP. 
https://drive.google.com/drive/folders/1YG4j1db1JgadKapuQO6Hzf4cH_a8XpdR?usp=share_link --------El Sistema de videovigilancia del municipio (CCTV) hace parte del sistema SIES (Sistema integrado de emergencias y seguridad) el cual fue implementado en el municipio de Pereira en el año 2016 en el Comando de la Policía Metropolitana, constando de una sala desde donde se monitoreaban 297 cámaras, la línea 123 y la atención de emergencias de parte de la Policía Nacional.
El proyecto de Fortalecimiento de videovigilancia, buscó integrar 200 cámaras nuevas de última tecnología utilizando un software que permite la identificación y reconocimiento de placas, rostros y cuerpos, además, de la integración con la plataforma SECAD de la Policía, en la cual se registran los eventos o situaciones ciudadanas, articulando mejor el sistema para la atención y visualización oportuna de los acontecimientos.
https://www.pereira.gov.co/publicaciones/5205/alcalde-carlos-maya-hace-entrega-a-la-ciudad-de-200-camaras-de-reconocimiento-facial/</v>
      </c>
      <c r="T102" s="11">
        <f ca="1">IFERROR(__xludf.DUMMYFUNCTION("""COMPUTED_VALUE"""),44925)</f>
        <v>44925</v>
      </c>
      <c r="U102" s="10"/>
    </row>
    <row r="103" spans="1:21" ht="37.5" customHeight="1" x14ac:dyDescent="0.2">
      <c r="A103" s="10" t="str">
        <f ca="1">IFERROR(__xludf.DUMMYFUNCTION("""COMPUTED_VALUE"""),"Gestión del Conocimiento y la Innovación")</f>
        <v>Gestión del Conocimiento y la Innovación</v>
      </c>
      <c r="B103" s="10" t="str">
        <f ca="1">IFERROR(__xludf.DUMMYFUNCTION("""COMPUTED_VALUE"""),"Gestión del Conocimiento y la Innovación")</f>
        <v>Gestión del Conocimiento y la Innovación</v>
      </c>
      <c r="C103" s="10" t="str">
        <f ca="1">IFERROR(__xludf.DUMMYFUNCTION("""COMPUTED_VALUE"""),"Mantener cooperación con otras entidades, organismos o instituciones que potencien el conocimiento de la entidad y facilitar su intercambio.")</f>
        <v>Mantener cooperación con otras entidades, organismos o instituciones que potencien el conocimiento de la entidad y facilitar su intercambio.</v>
      </c>
      <c r="D103" s="10" t="str">
        <f ca="1">IFERROR(__xludf.DUMMYFUNCTION("""COMPUTED_VALUE"""),"Cooperación técnica con otras entidades, organismos o instituciones que potencian el conocimiento de la entidad y facilitan su intercambio.")</f>
        <v>Cooperación técnica con otras entidades, organismos o instituciones que potencian el conocimiento de la entidad y facilitan su intercambio.</v>
      </c>
      <c r="E103" s="10" t="str">
        <f ca="1">IFERROR(__xludf.DUMMYFUNCTION("""COMPUTED_VALUE"""),"No. Entidades contactadas con convenio de cooperación en la Alcaldía para potencializar el conocimiento de la entidad /No. Entidades contactadas que potencialicen el conocimiento de la entidad")</f>
        <v>No. Entidades contactadas con convenio de cooperación en la Alcaldía para potencializar el conocimiento de la entidad /No. Entidades contactadas que potencialicen el conocimiento de la entidad</v>
      </c>
      <c r="F103" s="11">
        <f ca="1">IFERROR(__xludf.DUMMYFUNCTION("""COMPUTED_VALUE"""),44588)</f>
        <v>44588</v>
      </c>
      <c r="G103" s="11">
        <f ca="1">IFERROR(__xludf.DUMMYFUNCTION("""COMPUTED_VALUE"""),44925)</f>
        <v>44925</v>
      </c>
      <c r="H103" s="10" t="str">
        <f ca="1">IFERROR(__xludf.DUMMYFUNCTION("""COMPUTED_VALUE"""),"Dirección Administrativa de Talento Humano -Transversal con las demás Secretarias de la Entidad")</f>
        <v>Dirección Administrativa de Talento Humano -Transversal con las demás Secretarias de la Entidad</v>
      </c>
      <c r="I103" s="12">
        <f ca="1">IFERROR(__xludf.DUMMYFUNCTION("""COMPUTED_VALUE"""),0.97)</f>
        <v>0.97</v>
      </c>
      <c r="J103" s="10" t="str">
        <f ca="1">IFERROR(__xludf.DUMMYFUNCTION("""COMPUTED_VALUE"""),"Para la vigencia del 01 de enero al 31 de marzo de 2022, Este primer trimestre  hubo poco  avance, este porcentaje de avance reflejado corresponde a la vigencia 2021.
Para el corte del 01 de Enero  al 31  de Marzo  de 2022 ,La Secretaría de Gobierno rea"&amp;"liza trabajo de cooperación con entidades como: la Agencia Nacional Minera, La Corporación Autónoma Regional de Risaralda CARDER, la Gobernación de Risaralda, la Policía Nacional, la Unidad de Parques Nacionales.EVIDENCIAS____________________Para el corte"&amp;" del 01 de Enero  al 31  de Marzo  de 2022,La Secretaría de Desarrollo Económico y Competitividad desde el centro de empleo continua realizando las  maratones de empleo según las necesidades de diferen empresas de la ciudad (anexo informe 1 trimestre  Age"&amp;"ncia de Empleo).    
Desde el foco CIENCIA TECNOLOGÍA E INNOVACIÓN-  CTeI se sisten a diferentes reuniones (se anexa carpeta CTeI con evidencias).          
 *Reunión el 17/02/2022 con universidad Cátolica con el fin de realizar seguimiento del nodo de Me"&amp;"talmecánica ( anexo 6 acta de mesa seguimiento UCP).__________________________Para la vigencia del 01 de enero al 31 de marzo de 2022, La Secretarìa de DEPORTE Y RECREACION;  a la fecha se tiene alianzas con UTP. U. AREA ANDINA, U. CATOLICA, SENA,. CEDE N"&amp;"ORTE.
*Reunión el 09/03/2022 con universidad Cátolica con el fin de realizar seguimiento del nodo de Metalmecánica ( anexo 6 acta de reunión  UCP).
*Reunión 10/03/2022 con la Universidad Libre  del cómite técnico de Bitecnología. ( anexo 7 Acta reunion "&amp;"U libre)")</f>
        <v>Para la vigencia del 01 de enero al 31 de marzo de 2022, Este primer trimestre  hubo poco  avance, este porcentaje de avance reflejado corresponde a la vigencia 2021.
Para el corte del 01 de Enero  al 31  de Marzo  de 2022 ,La Secretaría de Gobierno realiza trabajo de cooperación con entidades como: la Agencia Nacional Minera, La Corporación Autónoma Regional de Risaralda CARDER, la Gobernación de Risaralda, la Policía Nacional, la Unidad de Parques Nacionales.EVIDENCIAS____________________Para el corte del 01 de Enero  al 31  de Marzo  de 2022,La Secretaría de Desarrollo Económico y Competitividad desde el centro de empleo continua realizando las  maratones de empleo según las necesidades de diferen empresas de la ciudad (anexo informe 1 trimestre  Agencia de Empleo).    
Desde el foco CIENCIA TECNOLOGÍA E INNOVACIÓN-  CTeI se sisten a diferentes reuniones (se anexa carpeta CTeI con evidencias).          
 *Reunión el 17/02/2022 con universidad Cátolica con el fin de realizar seguimiento del nodo de Metalmecánica ( anexo 6 acta de mesa seguimiento UCP).__________________________Para la vigencia del 01 de enero al 31 de marzo de 2022, La Secretarìa de DEPORTE Y RECREACION;  a la fecha se tiene alianzas con UTP. U. AREA ANDINA, U. CATOLICA, SENA,. CEDE NORTE.
*Reunión el 09/03/2022 con universidad Cátolica con el fin de realizar seguimiento del nodo de Metalmecánica ( anexo 6 acta de reunión  UCP).
*Reunión 10/03/2022 con la Universidad Libre  del cómite técnico de Bitecnología. ( anexo 7 Acta reunion U libre)</v>
      </c>
      <c r="K103" s="11">
        <f ca="1">IFERROR(__xludf.DUMMYFUNCTION("""COMPUTED_VALUE"""),44650)</f>
        <v>44650</v>
      </c>
      <c r="L103" s="12">
        <f ca="1">IFERROR(__xludf.DUMMYFUNCTION("""COMPUTED_VALUE"""),0.97)</f>
        <v>0.97</v>
      </c>
      <c r="M103" s="10" t="str">
        <f ca="1">IFERROR(__xludf.DUMMYFUNCTION("""COMPUTED_VALUE"""),"Para la Vigencia del 01 de Abril al 30 de Junio de 2022, la Secretaria de las TIC, Tienen como referentes que potencian el conocimiento de la Secretaría :
Ministerio de Tecnologías de la Información y la Comunicación.  https://www.mintic.gov.co/portal/in"&amp;"icio/
https://mintic.gov.co/arquitecturati/630/w3-channel.html
Departamento Administrativo de la Función Pública - DAFP. En el marco del Convenio Interadministrativo No 209 de 2020 de acompañamiento, con relación al objetivo de liderar la Política de Rac"&amp;"ionalización de Trámites. https://www.funcionpublica.gov.co/")</f>
        <v>Para la Vigencia del 01 de Abril al 30 de Junio de 2022, la Secretaria de las TIC, Tienen como referentes que potencian el conocimiento de la Secretaría :
Ministerio de Tecnologías de la Información y la Comunicación.  https://www.mintic.gov.co/portal/inicio/
https://mintic.gov.co/arquitecturati/630/w3-channel.html
Departamento Administrativo de la Función Pública - DAFP. En el marco del Convenio Interadministrativo No 209 de 2020 de acompañamiento, con relación al objetivo de liderar la Política de Racionalización de Trámites. https://www.funcionpublica.gov.co/</v>
      </c>
      <c r="N103" s="11">
        <f ca="1">IFERROR(__xludf.DUMMYFUNCTION("""COMPUTED_VALUE"""),44742)</f>
        <v>44742</v>
      </c>
      <c r="O103" s="12">
        <f ca="1">IFERROR(__xludf.DUMMYFUNCTION("""COMPUTED_VALUE"""),0.99)</f>
        <v>0.99</v>
      </c>
      <c r="P103" s="10" t="str">
        <f ca="1">IFERROR(__xludf.DUMMYFUNCTION("""COMPUTED_VALUE"""),"Se tienen como referentes que potencian el conocimiento de la Secretaría de Tecnologías de la Información y la Comunicación: 
Ministerio de Tecnologías de la Información y la Comunicación.  https://www.mintic.gov.co/portal/inicio/
https://mintic.gov.co/a"&amp;"rquitecturati/630/w3-channel.html
Departamento Administrativo de la Función Pública - DAFP. En el marco del Convenio Interadministrativo No 209 de 2020 de acompañamiento, con relación al objetivo de liderar la Política de Racionalización de Trámites. htt"&amp;"ps://www.funcionpublica.gov.co/   ______________________________________________________________________________________________________________________________________________________________________________La Secretaría de Gobierno participa en la MESA "&amp;"DE CALIDAD DEL AIRE que lidera la secretaría de planeación y la CARDER._________________________________________________________________________________________________________________________________________________________________________1. La Secretarí"&amp;"a de Desarrollo Económico y Competitividad desde el centro de empleo continua realizando las  maratones de empleo según las necesidades de diferen empresas de la ciudad (anexo  INFORME DE INDICADORES).    
2. Desde el foco CIENCIA TECNOLOGÍA E INNOVACIÓN"&amp;"-  CTeI se sisten a diferentes reuniones (se anexa carpeta CTeI con evidencias).          
*Reunión el 22/08/2022 seguimiento del convenio con Universidad Cátolica  ( acta de reunión No.5 UCP).__________________________________________________________"&amp;"_________________________________________________________________________________________________________________Las mesas se desarrollaron en los meses de de MAYO JUNIO y abril _____________________________________________________________________________"&amp;"______________________________________________________________________________________________________Cuanta tambien con la participacion de FAO,IDEAM y MINAGRICULTURA  (Anexo 2)_________La Direccion de Talento Humano coordino y gestiono  reunión virtual "&amp;"con la Dra Zoraida Rueda Penagos  Comunicadora Social, Periodista y Docente de la Escuela Superior de Administración Publica y el master  Carlos Gutierrez Cuevas autor del libro gestion del Conocimiento en la Pratica de la Ciudad de Bogotá con el ánimo de"&amp;" compartir estrategias para fortalecer la política de Gestión del Conocimiento y la Innovación de la Secretaria y que lidera la Dirección de Talento humano.---La Direccion de Talento Humano  participo en el seminario sobre la política de Gestión del Conoc"&amp;"imiento y la Innovación  que gestiono la Dirección de  talento Humano con la Escuela Superior de Administración Publica en el municipio de Dosquebradas con el animo de intercambiar conocimientos y fortalecer la implementación de la política en la Secretar"&amp;"ia de Gestión  Administrativa de la Alcaldía de Pereira. La evdencia se encuentra en el informe 1 de activiades de la contratista Marisol Peña Sanchez. Correo Direccion de talento humano. direcciontalentohumano@pereira.gov.co______________________________"&amp;"________________________________________________________________________________________________________________________")</f>
        <v>Se tienen como referentes que potencian el conocimiento de la Secretaría de Tecnologías de la Información y la Comunicación: 
Ministerio de Tecnologías de la Información y la Comunicación.  https://www.mintic.gov.co/portal/inicio/
https://mintic.gov.co/arquitecturati/630/w3-channel.html
Departamento Administrativo de la Función Pública - DAFP. En el marco del Convenio Interadministrativo No 209 de 2020 de acompañamiento, con relación al objetivo de liderar la Política de Racionalización de Trámites. https://www.funcionpublica.gov.co/   ______________________________________________________________________________________________________________________________________________________________________________La Secretaría de Gobierno participa en la MESA DE CALIDAD DEL AIRE que lidera la secretaría de planeación y la CARDER._________________________________________________________________________________________________________________________________________________________________________1. La Secretaría de Desarrollo Económico y Competitividad desde el centro de empleo continua realizando las  maratones de empleo según las necesidades de diferen empresas de la ciudad (anexo  INFORME DE INDICADORES).    
2. Desde el foco CIENCIA TECNOLOGÍA E INNOVACIÓN-  CTeI se sisten a diferentes reuniones (se anexa carpeta CTeI con evidencias).          
*Reunión el 22/08/2022 seguimiento del convenio con Universidad Cátolica  ( acta de reunión No.5 UCP).___________________________________________________________________________________________________________________________________________________________________________Las mesas se desarrollaron en los meses de de MAYO JUNIO y abril ___________________________________________________________________________________________________________________________________________________________________________________Cuanta tambien con la participacion de FAO,IDEAM y MINAGRICULTURA  (Anexo 2)_________La Direccion de Talento Humano coordino y gestiono  reunión virtual con la Dra Zoraida Rueda Penagos  Comunicadora Social, Periodista y Docente de la Escuela Superior de Administración Publica y el master  Carlos Gutierrez Cuevas autor del libro gestion del Conocimiento en la Pratica de la Ciudad de Bogotá con el ánimo de compartir estrategias para fortalecer la política de Gestión del Conocimiento y la Innovación de la Secretaria y que lidera la Dirección de Talento humano.---La Direccion de Talento Humano  participo en el seminario sobre la política de Gestión del Conocimiento y la Innovación  que gestiono la Dirección de  talento Humano con la Escuela Superior de Administración Publica en el municipio de Dosquebradas con el animo de intercambiar conocimientos y fortalecer la implementación de la política en la Secretaria de Gestión  Administrativa de la Alcaldía de Pereira. La evdencia se encuentra en el informe 1 de activiades de la contratista Marisol Peña Sanchez. Correo Direccion de talento humano. direcciontalentohumano@pereira.gov.co______________________________________________________________________________________________________________________________________________________</v>
      </c>
      <c r="Q103" s="11">
        <f ca="1">IFERROR(__xludf.DUMMYFUNCTION("""COMPUTED_VALUE"""),44834)</f>
        <v>44834</v>
      </c>
      <c r="R103" s="12">
        <f ca="1">IFERROR(__xludf.DUMMYFUNCTION("""COMPUTED_VALUE"""),0.99)</f>
        <v>0.99</v>
      </c>
      <c r="S103" s="10" t="str">
        <f ca="1">IFERROR(__xludf.DUMMYFUNCTION("""COMPUTED_VALUE"""),"Desde la secretari de deprote se tienen redes y alianzas para ocmpartir experiencias con la Secretaria Departamental de Deporte y Cultura sobre la organización, e implementación de Juegos Intercolegiados, igualmente con la Red Colombiana de Actividad Físi"&amp;"ca REDCOLAF, tambien con el equipo Nacional y departamental de Juegos nacionales confomrado por el ministerio de deprote. Evidencias https://drive.google.com/drive/folders/1XOPP4VV2rh_n-rFjGOWAIg8M05c4zOI8  ----La  Secretaria de Desarrollo Social y Politi"&amp;"co maneja las siguientes plataformas a novel nacional : https://vivanto2.unidadvictimas.gov.co, https://prosperidadsocial.gov.co/sgpp/transferencia/familias-en-accion/ sistema de información/sisbenet https:wwww.nelfsp.equidad.com.co  https://app2.mintraba"&amp;"jo.gov.co/siriti/index.aspx. pagina jovenes en accion.-------SECRETARIA DE DESARROLLO ECONOMICO Y COMPETITIVIDAD 
1. La Secretaría de Desarrollo Económico y Competitividad desde el centro de empleo continua realizando las  maratones de empleo según las ne"&amp;"cesidades de diferen empresas de la ciudad (INFORME DE INDICADORES).    
2. Desde el foco CIENCIA TECNOLOGÍA E INNOVACIÓN-  CTeI se sisten a diferentes reuniones (archivocompetitividad@gmail.com)
*Reunión el 07/10/2022 seguimiento del convenio con Univ"&amp;"ersidad Cátolica  ( acta de reunión No.6 UCP
- Reunión el 01/12/2022 seguimiento UCP, cierre del convenio
Se tiene el informe del convenio  de la convocatoria 893 de 2020
Se tienen varios drive donde se realiza seguimiento del cumplimiento de metas del p"&amp;"lan de desarrollo: 
https://drive.google.com/drive/u/0/folders/14o4wkwqlXro0_Ot6CcD_HCYroQiujYTL----- Acompañamiento a la estrategia Policía de vecindario: Gracias al fortalecimiento de esta estrategia, se ha logrado intervención de sitios álgidos donde s"&amp;"e cometen delitos de alto impacto que afectan a la comunidad, además de intervención oportuna a invasiones en áreas de espacio público.
• Fortalecimiento institucional a la Policía Metropolitana en el acompañamiento de las estrategias preventivas coleg"&amp;"ios seguros, el guantazo y comandos situacionales en beneficio de población vulnerables en especial niños, niñas, adolescentes y jóvenes.")</f>
        <v>Desde la secretari de deprote se tienen redes y alianzas para ocmpartir experiencias con la Secretaria Departamental de Deporte y Cultura sobre la organización, e implementación de Juegos Intercolegiados, igualmente con la Red Colombiana de Actividad Física REDCOLAF, tambien con el equipo Nacional y departamental de Juegos nacionales confomrado por el ministerio de deprote. Evidencias https://drive.google.com/drive/folders/1XOPP4VV2rh_n-rFjGOWAIg8M05c4zOI8  ----La  Secretaria de Desarrollo Social y Politico maneja las siguientes plataformas a novel nacional : https://vivanto2.unidadvictimas.gov.co, https://prosperidadsocial.gov.co/sgpp/transferencia/familias-en-accion/ sistema de información/sisbenet https:wwww.nelfsp.equidad.com.co  https://app2.mintrabajo.gov.co/siriti/index.aspx. pagina jovenes en accion.-------SECRETARIA DE DESARROLLO ECONOMICO Y COMPETITIVIDAD 
1. La Secretaría de Desarrollo Económico y Competitividad desde el centro de empleo continua realizando las  maratones de empleo según las necesidades de diferen empresas de la ciudad (INFORME DE INDICADORES).    
2. Desde el foco CIENCIA TECNOLOGÍA E INNOVACIÓN-  CTeI se sisten a diferentes reuniones (archivocompetitividad@gmail.com)
*Reunión el 07/10/2022 seguimiento del convenio con Universidad Cátolica  ( acta de reunión No.6 UCP
- Reunión el 01/12/2022 seguimiento UCP, cierre del convenio
Se tiene el informe del convenio  de la convocatoria 893 de 2020
Se tienen varios drive donde se realiza seguimiento del cumplimiento de metas del plan de desarrollo: 
https://drive.google.com/drive/u/0/folders/14o4wkwqlXro0_Ot6CcD_HCYroQiujYTL----- Acompañamiento a la estrategia Policía de vecindario: Gracias al fortalecimiento de esta estrategia, se ha logrado intervención de sitios álgidos donde se cometen delitos de alto impacto que afectan a la comunidad, además de intervención oportuna a invasiones en áreas de espacio público.
• Fortalecimiento institucional a la Policía Metropolitana en el acompañamiento de las estrategias preventivas colegios seguros, el guantazo y comandos situacionales en beneficio de población vulnerables en especial niños, niñas, adolescentes y jóvenes.</v>
      </c>
      <c r="T103" s="11">
        <f ca="1">IFERROR(__xludf.DUMMYFUNCTION("""COMPUTED_VALUE"""),44925)</f>
        <v>44925</v>
      </c>
      <c r="U103" s="10"/>
    </row>
    <row r="104" spans="1:21" ht="37.5" customHeight="1" x14ac:dyDescent="0.2">
      <c r="A104" s="10" t="str">
        <f ca="1">IFERROR(__xludf.DUMMYFUNCTION("""COMPUTED_VALUE"""),"Gestión del Conocimiento y la Innovación")</f>
        <v>Gestión del Conocimiento y la Innovación</v>
      </c>
      <c r="B104" s="10" t="str">
        <f ca="1">IFERROR(__xludf.DUMMYFUNCTION("""COMPUTED_VALUE"""),"Gestión del Conocimiento y la Innovación")</f>
        <v>Gestión del Conocimiento y la Innovación</v>
      </c>
      <c r="C104" s="10" t="str">
        <f ca="1">IFERROR(__xludf.DUMMYFUNCTION("""COMPUTED_VALUE"""),"I89: Medir la capacidad de la entidad pública de generar herramientas para utilizar y apropiar el conocimiento, mediante acciones que permitan obtener, organizar, sistematizar, guardar y compartir fácilmente los datos y la información de la entidad.")</f>
        <v>I89: Medir la capacidad de la entidad pública de generar herramientas para utilizar y apropiar el conocimiento, mediante acciones que permitan obtener, organizar, sistematizar, guardar y compartir fácilmente los datos y la información de la entidad.</v>
      </c>
      <c r="D104" s="10" t="str">
        <f ca="1">IFERROR(__xludf.DUMMYFUNCTION("""COMPUTED_VALUE"""),"Diseñar y ejecutar actividades en entornos que permitan enseñar-aprender desde varios enfoques.")</f>
        <v>Diseñar y ejecutar actividades en entornos que permitan enseñar-aprender desde varios enfoques.</v>
      </c>
      <c r="E104" s="10" t="str">
        <f ca="1">IFERROR(__xludf.DUMMYFUNCTION("""COMPUTED_VALUE"""),"No. espacios de aprendizaje y entrega de actividades realizadas /No. espacio para la creación, gestión de entornos virtuales de enseñanza, aprendizaje y tecnologías")</f>
        <v>No. espacios de aprendizaje y entrega de actividades realizadas /No. espacio para la creación, gestión de entornos virtuales de enseñanza, aprendizaje y tecnologías</v>
      </c>
      <c r="F104" s="11">
        <f ca="1">IFERROR(__xludf.DUMMYFUNCTION("""COMPUTED_VALUE"""),44588)</f>
        <v>44588</v>
      </c>
      <c r="G104" s="11">
        <f ca="1">IFERROR(__xludf.DUMMYFUNCTION("""COMPUTED_VALUE"""),44925)</f>
        <v>44925</v>
      </c>
      <c r="H104" s="10" t="str">
        <f ca="1">IFERROR(__xludf.DUMMYFUNCTION("""COMPUTED_VALUE"""),"Dirección Administrativa de Talento Humano -Transversal con las demás Secretarias de la Entidad")</f>
        <v>Dirección Administrativa de Talento Humano -Transversal con las demás Secretarias de la Entidad</v>
      </c>
      <c r="I104" s="12">
        <f ca="1">IFERROR(__xludf.DUMMYFUNCTION("""COMPUTED_VALUE"""),0.6)</f>
        <v>0.6</v>
      </c>
      <c r="J104" s="10" t="str">
        <f ca="1">IFERROR(__xludf.DUMMYFUNCTION("""COMPUTED_VALUE"""),"Para la vigencia del 01 de enero al 31 de marzo de 2022, La Secretarìa de DEPORTE Y RECREACION;  Cuenta con  muy buenas herramientas con el software DIOGENES, la aplicaciaon DATA STUDIO,  que permite visualizar muy  amigablemente la infomacion y realziar "&amp;"analitica de datos.")</f>
        <v>Para la vigencia del 01 de enero al 31 de marzo de 2022, La Secretarìa de DEPORTE Y RECREACION;  Cuenta con  muy buenas herramientas con el software DIOGENES, la aplicaciaon DATA STUDIO,  que permite visualizar muy  amigablemente la infomacion y realziar analitica de datos.</v>
      </c>
      <c r="K104" s="11">
        <f ca="1">IFERROR(__xludf.DUMMYFUNCTION("""COMPUTED_VALUE"""),44650)</f>
        <v>44650</v>
      </c>
      <c r="L104" s="12">
        <f ca="1">IFERROR(__xludf.DUMMYFUNCTION("""COMPUTED_VALUE"""),0.6)</f>
        <v>0.6</v>
      </c>
      <c r="M104" s="10" t="str">
        <f ca="1">IFERROR(__xludf.DUMMYFUNCTION("""COMPUTED_VALUE"""),"Para la vigencia del 01 de enero al 31 de marzo de 2022, La Secretarìa de DEPORTE Y RECREACION;  Cuenta con  muy buenas herramientas con el software DIOGENES, la aplicaciaon DATA STUDIO,  que permite visualizar muy  amigablemente la infomacion y realziar "&amp;"analitica de datos.
")</f>
        <v xml:space="preserve">Para la vigencia del 01 de enero al 31 de marzo de 2022, La Secretarìa de DEPORTE Y RECREACION;  Cuenta con  muy buenas herramientas con el software DIOGENES, la aplicaciaon DATA STUDIO,  que permite visualizar muy  amigablemente la infomacion y realziar analitica de datos.
</v>
      </c>
      <c r="N104" s="11">
        <f ca="1">IFERROR(__xludf.DUMMYFUNCTION("""COMPUTED_VALUE"""),44742)</f>
        <v>44742</v>
      </c>
      <c r="O104" s="12">
        <f ca="1">IFERROR(__xludf.DUMMYFUNCTION("""COMPUTED_VALUE"""),0.6)</f>
        <v>0.6</v>
      </c>
      <c r="P104"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4" s="11">
        <f ca="1">IFERROR(__xludf.DUMMYFUNCTION("""COMPUTED_VALUE"""),44834)</f>
        <v>44834</v>
      </c>
      <c r="R104" s="12">
        <f ca="1">IFERROR(__xludf.DUMMYFUNCTION("""COMPUTED_VALUE"""),0.6)</f>
        <v>0.6</v>
      </c>
      <c r="S104" s="10" t="str">
        <f ca="1">IFERROR(__xludf.DUMMYFUNCTION("""COMPUTED_VALUE"""),"En  este cuarto seguimiento no se registro evidencia a esta actividad este porcentaje corresponde al tercer seguimiento")</f>
        <v>En  este cuarto seguimiento no se registro evidencia a esta actividad este porcentaje corresponde al tercer seguimiento</v>
      </c>
      <c r="T104" s="11">
        <f ca="1">IFERROR(__xludf.DUMMYFUNCTION("""COMPUTED_VALUE"""),44925)</f>
        <v>44925</v>
      </c>
      <c r="U104" s="10"/>
    </row>
    <row r="105" spans="1:21" ht="37.5" customHeight="1" x14ac:dyDescent="0.2">
      <c r="A105" s="10" t="str">
        <f ca="1">IFERROR(__xludf.DUMMYFUNCTION("""COMPUTED_VALUE"""),"Gestión del Conocimiento y la Innovación")</f>
        <v>Gestión del Conocimiento y la Innovación</v>
      </c>
      <c r="B105" s="10" t="str">
        <f ca="1">IFERROR(__xludf.DUMMYFUNCTION("""COMPUTED_VALUE"""),"Gestión del Conocimiento y la Innovación")</f>
        <v>Gestión del Conocimiento y la Innovación</v>
      </c>
      <c r="C105" s="10" t="str">
        <f ca="1">IFERROR(__xludf.DUMMYFUNCTION("""COMPUTED_VALUE"""),"I89: Medir la capacidad de la entidad pública de generar herramientas para utilizar y apropiar el conocimiento, mediante acciones que permitan obtener, organizar, sistematizar, guardar y compartir fácilmente los datos y la información de la entidad.")</f>
        <v>I89: Medir la capacidad de la entidad pública de generar herramientas para utilizar y apropiar el conocimiento, mediante acciones que permitan obtener, organizar, sistematizar, guardar y compartir fácilmente los datos y la información de la entidad.</v>
      </c>
      <c r="D105" s="10" t="str">
        <f ca="1">IFERROR(__xludf.DUMMYFUNCTION("""COMPUTED_VALUE"""),"Establecer convenios y/o acuerdos con otras organizaciones para fortalecer el conocimiento de la entidad y su capital relacional.")</f>
        <v>Establecer convenios y/o acuerdos con otras organizaciones para fortalecer el conocimiento de la entidad y su capital relacional.</v>
      </c>
      <c r="E105" s="10" t="str">
        <f ca="1">IFERROR(__xludf.DUMMYFUNCTION("""COMPUTED_VALUE"""),"No. Entidades con convenio de cooperación en la Alcaldía para potencializar el conocimiento de la entidad /No. Entidades contactadas que potencialicen el conocimiento de la entidad")</f>
        <v>No. Entidades con convenio de cooperación en la Alcaldía para potencializar el conocimiento de la entidad /No. Entidades contactadas que potencialicen el conocimiento de la entidad</v>
      </c>
      <c r="F105" s="11">
        <f ca="1">IFERROR(__xludf.DUMMYFUNCTION("""COMPUTED_VALUE"""),44588)</f>
        <v>44588</v>
      </c>
      <c r="G105" s="11">
        <f ca="1">IFERROR(__xludf.DUMMYFUNCTION("""COMPUTED_VALUE"""),44925)</f>
        <v>44925</v>
      </c>
      <c r="H105" s="10" t="str">
        <f ca="1">IFERROR(__xludf.DUMMYFUNCTION("""COMPUTED_VALUE"""),"Dirección Administrativa de Talento Humano -Transversal con las demás Secretarias de la Entidad")</f>
        <v>Dirección Administrativa de Talento Humano -Transversal con las demás Secretarias de la Entidad</v>
      </c>
      <c r="I105" s="12">
        <f ca="1">IFERROR(__xludf.DUMMYFUNCTION("""COMPUTED_VALUE"""),0.6)</f>
        <v>0.6</v>
      </c>
      <c r="J105" s="10" t="str">
        <f ca="1">IFERROR(__xludf.DUMMYFUNCTION("""COMPUTED_VALUE"""),"Para la vigencia del 01 de enero al 31 de marzo de 2022, La Secretarìa de DEPORTE Y RECREACION;  a la fecha se tiene alianzas con UTP. U. AREA ANDINA, U. CATOLICA, SENA,. CEDE NORTE.
 ")</f>
        <v xml:space="preserve">Para la vigencia del 01 de enero al 31 de marzo de 2022, La Secretarìa de DEPORTE Y RECREACION;  a la fecha se tiene alianzas con UTP. U. AREA ANDINA, U. CATOLICA, SENA,. CEDE NORTE.
 </v>
      </c>
      <c r="K105" s="11">
        <f ca="1">IFERROR(__xludf.DUMMYFUNCTION("""COMPUTED_VALUE"""),44650)</f>
        <v>44650</v>
      </c>
      <c r="L105" s="12">
        <f ca="1">IFERROR(__xludf.DUMMYFUNCTION("""COMPUTED_VALUE"""),0.6)</f>
        <v>0.6</v>
      </c>
      <c r="M105" s="10" t="str">
        <f ca="1">IFERROR(__xludf.DUMMYFUNCTION("""COMPUTED_VALUE"""),"""Para la vigencia del 01 de enero al 31 de marzo de 2022, La Secretarìa de DEPORTE Y RECREACION;  a la fecha se tiene alianzas con UTP. U. AREA ANDINA, U. CATOLICA, SENA,. CEDE NORTE.
 ""
")</f>
        <v xml:space="preserve">"Para la vigencia del 01 de enero al 31 de marzo de 2022, La Secretarìa de DEPORTE Y RECREACION;  a la fecha se tiene alianzas con UTP. U. AREA ANDINA, U. CATOLICA, SENA,. CEDE NORTE.
 "
</v>
      </c>
      <c r="N105" s="11">
        <f ca="1">IFERROR(__xludf.DUMMYFUNCTION("""COMPUTED_VALUE"""),44742)</f>
        <v>44742</v>
      </c>
      <c r="O105" s="12">
        <f ca="1">IFERROR(__xludf.DUMMYFUNCTION("""COMPUTED_VALUE"""),0.6)</f>
        <v>0.6</v>
      </c>
      <c r="P105"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5" s="11">
        <f ca="1">IFERROR(__xludf.DUMMYFUNCTION("""COMPUTED_VALUE"""),44834)</f>
        <v>44834</v>
      </c>
      <c r="R105" s="12">
        <f ca="1">IFERROR(__xludf.DUMMYFUNCTION("""COMPUTED_VALUE"""),0.6)</f>
        <v>0.6</v>
      </c>
      <c r="S105" s="10" t="str">
        <f ca="1">IFERROR(__xludf.DUMMYFUNCTION("""COMPUTED_VALUE"""),"En  este cuarto seguimiento no se registro evidencia a esta actividad este porcentaje corresponde al tercer seguimiento")</f>
        <v>En  este cuarto seguimiento no se registro evidencia a esta actividad este porcentaje corresponde al tercer seguimiento</v>
      </c>
      <c r="T105" s="11">
        <f ca="1">IFERROR(__xludf.DUMMYFUNCTION("""COMPUTED_VALUE"""),44925)</f>
        <v>44925</v>
      </c>
      <c r="U105" s="10"/>
    </row>
    <row r="106" spans="1:21" ht="37.5" customHeight="1" x14ac:dyDescent="0.2">
      <c r="A106" s="10" t="str">
        <f ca="1">IFERROR(__xludf.DUMMYFUNCTION("""COMPUTED_VALUE"""),"Gestión del Conocimiento y la Innovación")</f>
        <v>Gestión del Conocimiento y la Innovación</v>
      </c>
      <c r="B106" s="10" t="str">
        <f ca="1">IFERROR(__xludf.DUMMYFUNCTION("""COMPUTED_VALUE"""),"Gestión del Conocimiento y la Innovación")</f>
        <v>Gestión del Conocimiento y la Innovación</v>
      </c>
      <c r="C106" s="10" t="str">
        <f ca="1">IFERROR(__xludf.DUMMYFUNCTION("""COMPUTED_VALUE"""),"I89: Medir la capacidad de la entidad pública de generar herramientas para utilizar y apropiar el conocimiento, mediante acciones que permitan obtener, organizar, sistematizar, guardar y compartir fácilmente los datos y la información de la entidad.")</f>
        <v>I89: Medir la capacidad de la entidad pública de generar herramientas para utilizar y apropiar el conocimiento, mediante acciones que permitan obtener, organizar, sistematizar, guardar y compartir fácilmente los datos y la información de la entidad.</v>
      </c>
      <c r="D106" s="10" t="str">
        <f ca="1">IFERROR(__xludf.DUMMYFUNCTION("""COMPUTED_VALUE"""),"Fomentar la transferencia del conocimiento hacia adentro y hacia afuera de la entidad.")</f>
        <v>Fomentar la transferencia del conocimiento hacia adentro y hacia afuera de la entidad.</v>
      </c>
      <c r="E106" s="10" t="str">
        <f ca="1">IFERROR(__xludf.DUMMYFUNCTION("""COMPUTED_VALUE"""),"No. Conversatorio de lecciones aprendidas realizados /No. De conversatorios programados")</f>
        <v>No. Conversatorio de lecciones aprendidas realizados /No. De conversatorios programados</v>
      </c>
      <c r="F106" s="11">
        <f ca="1">IFERROR(__xludf.DUMMYFUNCTION("""COMPUTED_VALUE"""),44588)</f>
        <v>44588</v>
      </c>
      <c r="G106" s="11">
        <f ca="1">IFERROR(__xludf.DUMMYFUNCTION("""COMPUTED_VALUE"""),44925)</f>
        <v>44925</v>
      </c>
      <c r="H106" s="10" t="str">
        <f ca="1">IFERROR(__xludf.DUMMYFUNCTION("""COMPUTED_VALUE"""),"Dirección Administrativa de Talento Humano -Transversal con las demás Secretarias de la Entidad")</f>
        <v>Dirección Administrativa de Talento Humano -Transversal con las demás Secretarias de la Entidad</v>
      </c>
      <c r="I106" s="12">
        <f ca="1">IFERROR(__xludf.DUMMYFUNCTION("""COMPUTED_VALUE"""),0.7)</f>
        <v>0.7</v>
      </c>
      <c r="J106" s="10" t="str">
        <f ca="1">IFERROR(__xludf.DUMMYFUNCTION("""COMPUTED_VALUE"""),"Para la vigencia del 01 de enero al 31 de marzo de 2022, La Secretarìa de DEPORTE Y RECREACION:  Tiene  implementados formas transparentes de brindar la infomracion entre elllas DATAstudio , donde cada contratista o comunidad en general puede determinar e"&amp;"l cubrimiento y cumplimiento del servicio, ademas se tiene el software DIOGENES, que contribuye a la democratizacion de la información.")</f>
        <v>Para la vigencia del 01 de enero al 31 de marzo de 2022, La Secretarìa de DEPORTE Y RECREACION:  Tiene  implementados formas transparentes de brindar la infomracion entre elllas DATAstudio , donde cada contratista o comunidad en general puede determinar el cubrimiento y cumplimiento del servicio, ademas se tiene el software DIOGENES, que contribuye a la democratizacion de la información.</v>
      </c>
      <c r="K106" s="11">
        <f ca="1">IFERROR(__xludf.DUMMYFUNCTION("""COMPUTED_VALUE"""),44650)</f>
        <v>44650</v>
      </c>
      <c r="L106" s="12">
        <f ca="1">IFERROR(__xludf.DUMMYFUNCTION("""COMPUTED_VALUE"""),0.7)</f>
        <v>0.7</v>
      </c>
      <c r="M106" s="10" t="str">
        <f ca="1">IFERROR(__xludf.DUMMYFUNCTION("""COMPUTED_VALUE"""),"Para la vigencia del 01 de enero al 31 de marzo de 2022, La Secretarìa de DEPORTE Y RECREACION:  Tiene  implementados formas transparentes de brindar la infomracion entre elllas DATAstudio , donde cada contratista o comunidad en general puede determinar e"&amp;"l cubrimiento y cumplimiento del servicio, ademas se tiene el software DIOGENES, que contribuye a la democratizacion de la información.
")</f>
        <v xml:space="preserve">Para la vigencia del 01 de enero al 31 de marzo de 2022, La Secretarìa de DEPORTE Y RECREACION:  Tiene  implementados formas transparentes de brindar la infomracion entre elllas DATAstudio , donde cada contratista o comunidad en general puede determinar el cubrimiento y cumplimiento del servicio, ademas se tiene el software DIOGENES, que contribuye a la democratizacion de la información.
</v>
      </c>
      <c r="N106" s="11">
        <f ca="1">IFERROR(__xludf.DUMMYFUNCTION("""COMPUTED_VALUE"""),44742)</f>
        <v>44742</v>
      </c>
      <c r="O106" s="12">
        <f ca="1">IFERROR(__xludf.DUMMYFUNCTION("""COMPUTED_VALUE"""),0.7)</f>
        <v>0.7</v>
      </c>
      <c r="P106"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6" s="11">
        <f ca="1">IFERROR(__xludf.DUMMYFUNCTION("""COMPUTED_VALUE"""),44834)</f>
        <v>44834</v>
      </c>
      <c r="R106" s="12">
        <f ca="1">IFERROR(__xludf.DUMMYFUNCTION("""COMPUTED_VALUE"""),0.7)</f>
        <v>0.7</v>
      </c>
      <c r="S106" s="10" t="str">
        <f ca="1">IFERROR(__xludf.DUMMYFUNCTION("""COMPUTED_VALUE"""),"En  este cuarto seguimiento no se registro evidencia a esta actividad este porcentaje corresponde al tercer seguimiento")</f>
        <v>En  este cuarto seguimiento no se registro evidencia a esta actividad este porcentaje corresponde al tercer seguimiento</v>
      </c>
      <c r="T106" s="11">
        <f ca="1">IFERROR(__xludf.DUMMYFUNCTION("""COMPUTED_VALUE"""),44925)</f>
        <v>44925</v>
      </c>
      <c r="U106" s="10"/>
    </row>
    <row r="107" spans="1:21" ht="37.5" customHeight="1" x14ac:dyDescent="0.2">
      <c r="A107" s="10" t="str">
        <f ca="1">IFERROR(__xludf.DUMMYFUNCTION("""COMPUTED_VALUE"""),"Gestión del Conocimiento y la Innovación")</f>
        <v>Gestión del Conocimiento y la Innovación</v>
      </c>
      <c r="B107" s="10" t="str">
        <f ca="1">IFERROR(__xludf.DUMMYFUNCTION("""COMPUTED_VALUE"""),"Gestión del Conocimiento y la Innovación")</f>
        <v>Gestión del Conocimiento y la Innovación</v>
      </c>
      <c r="C107" s="10" t="str">
        <f ca="1">IFERROR(__xludf.DUMMYFUNCTION("""COMPUTED_VALUE"""),"I91 Analítica institucional para la toma de decisiones")</f>
        <v>I91 Analítica institucional para la toma de decisiones</v>
      </c>
      <c r="D107" s="10" t="str">
        <f ca="1">IFERROR(__xludf.DUMMYFUNCTION("""COMPUTED_VALUE"""),"Uso de nuevas tecnologìas para la gestiòn documental de la entidad, que facilite la transferencia de conocimiento")</f>
        <v>Uso de nuevas tecnologìas para la gestiòn documental de la entidad, que facilite la transferencia de conocimiento</v>
      </c>
      <c r="E107" s="10" t="str">
        <f ca="1">IFERROR(__xludf.DUMMYFUNCTION("""COMPUTED_VALUE"""),"NO. Programas de recopilaciòn de datos propuestos usados/ No.programas creados para la recopilaciòn de la informaciòn(Inventarios de Datos)")</f>
        <v>NO. Programas de recopilaciòn de datos propuestos usados/ No.programas creados para la recopilaciòn de la informaciòn(Inventarios de Datos)</v>
      </c>
      <c r="F107" s="11">
        <f ca="1">IFERROR(__xludf.DUMMYFUNCTION("""COMPUTED_VALUE"""),44588)</f>
        <v>44588</v>
      </c>
      <c r="G107" s="11">
        <f ca="1">IFERROR(__xludf.DUMMYFUNCTION("""COMPUTED_VALUE"""),44925)</f>
        <v>44925</v>
      </c>
      <c r="H107" s="10" t="str">
        <f ca="1">IFERROR(__xludf.DUMMYFUNCTION("""COMPUTED_VALUE"""),"Dirección Administrativa de Talento Humano -Transversal con las demás Secretarias de la Entidad")</f>
        <v>Dirección Administrativa de Talento Humano -Transversal con las demás Secretarias de la Entidad</v>
      </c>
      <c r="I107" s="12"/>
      <c r="J107" s="10"/>
      <c r="K107" s="11"/>
      <c r="L107" s="12">
        <f ca="1">IFERROR(__xludf.DUMMYFUNCTION("""COMPUTED_VALUE"""),0.2)</f>
        <v>0.2</v>
      </c>
      <c r="M107" s="10" t="str">
        <f ca="1">IFERROR(__xludf.DUMMYFUNCTION("""COMPUTED_VALUE"""),"Para la Vigencia del 01 de Abril al 30 de Junio de 2022, la Secretaria de las TIC, Tienen como referentes que potencian el conocimiento de la Secretaría :
Ministerio de Tecnologías de la Información y la Comunicación.  https://www.mintic.gov.co/portal/in"&amp;"icio/
https://mintic.gov.co/arquitecturati/630/w3-channel.html
Departamento Administrativo de la Función Pública - DAFP. En el marco del Convenio Interadministrativo No 209 de 2020 de acompañamiento, con relación al objetivo de liderar la Política de Rac"&amp;"ionalización de Trámites. https://www.funcionpublica.gov.co/")</f>
        <v>Para la Vigencia del 01 de Abril al 30 de Junio de 2022, la Secretaria de las TIC, Tienen como referentes que potencian el conocimiento de la Secretaría :
Ministerio de Tecnologías de la Información y la Comunicación.  https://www.mintic.gov.co/portal/inicio/
https://mintic.gov.co/arquitecturati/630/w3-channel.html
Departamento Administrativo de la Función Pública - DAFP. En el marco del Convenio Interadministrativo No 209 de 2020 de acompañamiento, con relación al objetivo de liderar la Política de Racionalización de Trámites. https://www.funcionpublica.gov.co/</v>
      </c>
      <c r="N107" s="11">
        <f ca="1">IFERROR(__xludf.DUMMYFUNCTION("""COMPUTED_VALUE"""),44742)</f>
        <v>44742</v>
      </c>
      <c r="O107" s="12">
        <f ca="1">IFERROR(__xludf.DUMMYFUNCTION("""COMPUTED_VALUE"""),0.2)</f>
        <v>0.2</v>
      </c>
      <c r="P107"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7" s="11">
        <f ca="1">IFERROR(__xludf.DUMMYFUNCTION("""COMPUTED_VALUE"""),44834)</f>
        <v>44834</v>
      </c>
      <c r="R107" s="12"/>
      <c r="S107" s="10" t="str">
        <f ca="1">IFERROR(__xludf.DUMMYFUNCTION("""COMPUTED_VALUE"""),"Desde la Secretaría de Tecnologías de la Información y la Comunicación se tiene a disposición la herramienta MIN, para el almacenamiento de información de la entidad. Evidencia: MIN: http://min.pereira.gov.co/")</f>
        <v>Desde la Secretaría de Tecnologías de la Información y la Comunicación se tiene a disposición la herramienta MIN, para el almacenamiento de información de la entidad. Evidencia: MIN: http://min.pereira.gov.co/</v>
      </c>
      <c r="T107" s="11">
        <f ca="1">IFERROR(__xludf.DUMMYFUNCTION("""COMPUTED_VALUE"""),44925)</f>
        <v>44925</v>
      </c>
      <c r="U107" s="10" t="str">
        <f ca="1">IFERROR(__xludf.DUMMYFUNCTION("""COMPUTED_VALUE"""),"Se tiene la necesidad de contar con un repositorio alineado con el proceso de Gestión documental y archivo, en cumplimiento con las tablas de retención documental")</f>
        <v>Se tiene la necesidad de contar con un repositorio alineado con el proceso de Gestión documental y archivo, en cumplimiento con las tablas de retención documental</v>
      </c>
    </row>
    <row r="108" spans="1:21" ht="37.5" customHeight="1" x14ac:dyDescent="0.2">
      <c r="A108" s="10" t="str">
        <f ca="1">IFERROR(__xludf.DUMMYFUNCTION("""COMPUTED_VALUE"""),"Gestión del Conocimiento y la Innovación")</f>
        <v>Gestión del Conocimiento y la Innovación</v>
      </c>
      <c r="B108" s="10" t="str">
        <f ca="1">IFERROR(__xludf.DUMMYFUNCTION("""COMPUTED_VALUE"""),"Gestión del Conocimiento y la Innovación")</f>
        <v>Gestión del Conocimiento y la Innovación</v>
      </c>
      <c r="C108" s="10" t="str">
        <f ca="1">IFERROR(__xludf.DUMMYFUNCTION("""COMPUTED_VALUE"""),"I89 Generación de herramientas de uso y apropiación del conocimiento")</f>
        <v>I89 Generación de herramientas de uso y apropiación del conocimiento</v>
      </c>
      <c r="D108" s="10" t="str">
        <f ca="1">IFERROR(__xludf.DUMMYFUNCTION("""COMPUTED_VALUE"""),"Facilitar los medios para comunicar el conocimiento entre los grupos de valor al interior de la entidad")</f>
        <v>Facilitar los medios para comunicar el conocimiento entre los grupos de valor al interior de la entidad</v>
      </c>
      <c r="E108" s="10" t="str">
        <f ca="1">IFERROR(__xludf.DUMMYFUNCTION("""COMPUTED_VALUE"""),"No. Herramientas tecnològicas identificadas/ No.Herramientas tecnològicas creadas")</f>
        <v>No. Herramientas tecnològicas identificadas/ No.Herramientas tecnològicas creadas</v>
      </c>
      <c r="F108" s="11">
        <f ca="1">IFERROR(__xludf.DUMMYFUNCTION("""COMPUTED_VALUE"""),44588)</f>
        <v>44588</v>
      </c>
      <c r="G108" s="11">
        <f ca="1">IFERROR(__xludf.DUMMYFUNCTION("""COMPUTED_VALUE"""),44925)</f>
        <v>44925</v>
      </c>
      <c r="H108" s="10" t="str">
        <f ca="1">IFERROR(__xludf.DUMMYFUNCTION("""COMPUTED_VALUE"""),"Dirección Administrativa de Talento Humano-TIC -Transversal con las demás Secretarias de la Entidad")</f>
        <v>Dirección Administrativa de Talento Humano-TIC -Transversal con las demás Secretarias de la Entidad</v>
      </c>
      <c r="I108" s="12"/>
      <c r="J108" s="10"/>
      <c r="K108" s="11"/>
      <c r="L108" s="12">
        <f ca="1">IFERROR(__xludf.DUMMYFUNCTION("""COMPUTED_VALUE"""),0.1)</f>
        <v>0.1</v>
      </c>
      <c r="M108" s="10"/>
      <c r="N108" s="11">
        <f ca="1">IFERROR(__xludf.DUMMYFUNCTION("""COMPUTED_VALUE"""),44742)</f>
        <v>44742</v>
      </c>
      <c r="O108" s="12">
        <f ca="1">IFERROR(__xludf.DUMMYFUNCTION("""COMPUTED_VALUE"""),0.1)</f>
        <v>0.1</v>
      </c>
      <c r="P108"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8" s="11">
        <f ca="1">IFERROR(__xludf.DUMMYFUNCTION("""COMPUTED_VALUE"""),44834)</f>
        <v>44834</v>
      </c>
      <c r="R108" s="12">
        <f ca="1">IFERROR(__xludf.DUMMYFUNCTION("""COMPUTED_VALUE"""),0.1)</f>
        <v>0.1</v>
      </c>
      <c r="S108" s="10" t="str">
        <f ca="1">IFERROR(__xludf.DUMMYFUNCTION("""COMPUTED_VALUE"""),"En  este cuarto seguimiento no se registro evidencia a esta actividad este porcentaje corresponde al tercer seguimiento")</f>
        <v>En  este cuarto seguimiento no se registro evidencia a esta actividad este porcentaje corresponde al tercer seguimiento</v>
      </c>
      <c r="T108" s="11">
        <f ca="1">IFERROR(__xludf.DUMMYFUNCTION("""COMPUTED_VALUE"""),44925)</f>
        <v>44925</v>
      </c>
      <c r="U108" s="10"/>
    </row>
    <row r="109" spans="1:21" ht="37.5" customHeight="1" x14ac:dyDescent="0.2">
      <c r="A109" s="10" t="str">
        <f ca="1">IFERROR(__xludf.DUMMYFUNCTION("""COMPUTED_VALUE"""),"Gestión del Conocimiento y la Innovación")</f>
        <v>Gestión del Conocimiento y la Innovación</v>
      </c>
      <c r="B109" s="10" t="str">
        <f ca="1">IFERROR(__xludf.DUMMYFUNCTION("""COMPUTED_VALUE"""),"Gestión del Conocimiento y la Innovación")</f>
        <v>Gestión del Conocimiento y la Innovación</v>
      </c>
      <c r="C109" s="10" t="str">
        <f ca="1">IFERROR(__xludf.DUMMYFUNCTION("""COMPUTED_VALUE"""),"I87 Planeación de gestión del conocimiento y la innovación")</f>
        <v>I87 Planeación de gestión del conocimiento y la innovación</v>
      </c>
      <c r="D109" s="10" t="str">
        <f ca="1">IFERROR(__xludf.DUMMYFUNCTION("""COMPUTED_VALUE"""),"Realizar inventarios para identificar la ubicación del conocimiento explícito y evitar la pérdida de este conocimiento en la entidad.")</f>
        <v>Realizar inventarios para identificar la ubicación del conocimiento explícito y evitar la pérdida de este conocimiento en la entidad.</v>
      </c>
      <c r="E109" s="10" t="str">
        <f ca="1">IFERROR(__xludf.DUMMYFUNCTION("""COMPUTED_VALUE"""),"Información clasificada y actualizada periódicamente del conocimiento tácito para la planeación requerido por la entidad.(Mapas de conocimiento)")</f>
        <v>Información clasificada y actualizada periódicamente del conocimiento tácito para la planeación requerido por la entidad.(Mapas de conocimiento)</v>
      </c>
      <c r="F109" s="11">
        <f ca="1">IFERROR(__xludf.DUMMYFUNCTION("""COMPUTED_VALUE"""),44588)</f>
        <v>44588</v>
      </c>
      <c r="G109" s="11">
        <f ca="1">IFERROR(__xludf.DUMMYFUNCTION("""COMPUTED_VALUE"""),44925)</f>
        <v>44925</v>
      </c>
      <c r="H109" s="10" t="str">
        <f ca="1">IFERROR(__xludf.DUMMYFUNCTION("""COMPUTED_VALUE"""),"Dirección Administrativa de Talento Humano -Transversal con las demás Secretarias de la Entidad")</f>
        <v>Dirección Administrativa de Talento Humano -Transversal con las demás Secretarias de la Entidad</v>
      </c>
      <c r="I109" s="12"/>
      <c r="J109" s="10"/>
      <c r="K109" s="11"/>
      <c r="L109" s="12">
        <f ca="1">IFERROR(__xludf.DUMMYFUNCTION("""COMPUTED_VALUE"""),0.2)</f>
        <v>0.2</v>
      </c>
      <c r="M109" s="10" t="str">
        <f ca="1">IFERROR(__xludf.DUMMYFUNCTION("""COMPUTED_VALUE"""),"Para la Vigencia del 01 de Abril al 30 de Junio, la Secretaría de Talento Humano, realizo un Mapa de conocimiento , ajustandolo a la entidad, para ser aplicado en cada secretaría a partir del 3 trimestre 2022, y poder tener una clasificación de los tipos "&amp;"de conocimiento que se encuentran vinculados a la Alcaldia, 
")</f>
        <v xml:space="preserve">Para la Vigencia del 01 de Abril al 30 de Junio, la Secretaría de Talento Humano, realizo un Mapa de conocimiento , ajustandolo a la entidad, para ser aplicado en cada secretaría a partir del 3 trimestre 2022, y poder tener una clasificación de los tipos de conocimiento que se encuentran vinculados a la Alcaldia, 
</v>
      </c>
      <c r="N109" s="11">
        <f ca="1">IFERROR(__xludf.DUMMYFUNCTION("""COMPUTED_VALUE"""),44742)</f>
        <v>44742</v>
      </c>
      <c r="O109" s="12">
        <f ca="1">IFERROR(__xludf.DUMMYFUNCTION("""COMPUTED_VALUE"""),0.2)</f>
        <v>0.2</v>
      </c>
      <c r="P109"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09" s="11">
        <f ca="1">IFERROR(__xludf.DUMMYFUNCTION("""COMPUTED_VALUE"""),44834)</f>
        <v>44834</v>
      </c>
      <c r="R109" s="12">
        <f ca="1">IFERROR(__xludf.DUMMYFUNCTION("""COMPUTED_VALUE"""),0.2)</f>
        <v>0.2</v>
      </c>
      <c r="S109" s="10" t="str">
        <f ca="1">IFERROR(__xludf.DUMMYFUNCTION("""COMPUTED_VALUE"""),"En  este cuarto seguimiento no se registro evidencia a esta actividad este porcentaje corresponde al tercer seguimiento")</f>
        <v>En  este cuarto seguimiento no se registro evidencia a esta actividad este porcentaje corresponde al tercer seguimiento</v>
      </c>
      <c r="T109" s="11">
        <f ca="1">IFERROR(__xludf.DUMMYFUNCTION("""COMPUTED_VALUE"""),44925)</f>
        <v>44925</v>
      </c>
      <c r="U109" s="10"/>
    </row>
    <row r="110" spans="1:21" ht="37.5" customHeight="1" x14ac:dyDescent="0.2">
      <c r="A110" s="10" t="str">
        <f ca="1">IFERROR(__xludf.DUMMYFUNCTION("""COMPUTED_VALUE"""),"Gestión del Conocimiento y la Innovación")</f>
        <v>Gestión del Conocimiento y la Innovación</v>
      </c>
      <c r="B110" s="10" t="str">
        <f ca="1">IFERROR(__xludf.DUMMYFUNCTION("""COMPUTED_VALUE"""),"Gestión del Conocimiento y la Innovación")</f>
        <v>Gestión del Conocimiento y la Innovación</v>
      </c>
      <c r="C110" s="10" t="str">
        <f ca="1">IFERROR(__xludf.DUMMYFUNCTION("""COMPUTED_VALUE"""),"I87 Planeación de gestión del conocimiento y la innovación")</f>
        <v>I87 Planeación de gestión del conocimiento y la innovación</v>
      </c>
      <c r="D110" s="10" t="str">
        <f ca="1">IFERROR(__xludf.DUMMYFUNCTION("""COMPUTED_VALUE"""),"Contar con repositorios de conocimiento explícito en la entidad para evitar su pérdida.")</f>
        <v>Contar con repositorios de conocimiento explícito en la entidad para evitar su pérdida.</v>
      </c>
      <c r="E110" s="10" t="str">
        <f ca="1">IFERROR(__xludf.DUMMYFUNCTION("""COMPUTED_VALUE"""),"No. De repositorios implementados /No.De repositorios identificados,")</f>
        <v>No. De repositorios implementados /No.De repositorios identificados,</v>
      </c>
      <c r="F110" s="11">
        <f ca="1">IFERROR(__xludf.DUMMYFUNCTION("""COMPUTED_VALUE"""),44588)</f>
        <v>44588</v>
      </c>
      <c r="G110" s="11">
        <f ca="1">IFERROR(__xludf.DUMMYFUNCTION("""COMPUTED_VALUE"""),44925)</f>
        <v>44925</v>
      </c>
      <c r="H110" s="10" t="str">
        <f ca="1">IFERROR(__xludf.DUMMYFUNCTION("""COMPUTED_VALUE"""),"Dirección Administrativa de Talento Humano -Transversal con las demás Secretarias de la Entidad")</f>
        <v>Dirección Administrativa de Talento Humano -Transversal con las demás Secretarias de la Entidad</v>
      </c>
      <c r="I110" s="12"/>
      <c r="J110" s="10"/>
      <c r="K110" s="11"/>
      <c r="L110" s="12">
        <f ca="1">IFERROR(__xludf.DUMMYFUNCTION("""COMPUTED_VALUE"""),0.1)</f>
        <v>0.1</v>
      </c>
      <c r="M110" s="10"/>
      <c r="N110" s="11">
        <f ca="1">IFERROR(__xludf.DUMMYFUNCTION("""COMPUTED_VALUE"""),44742)</f>
        <v>44742</v>
      </c>
      <c r="O110" s="12">
        <f ca="1">IFERROR(__xludf.DUMMYFUNCTION("""COMPUTED_VALUE"""),0.1)</f>
        <v>0.1</v>
      </c>
      <c r="P110" s="10" t="str">
        <f ca="1">IFERROR(__xludf.DUMMYFUNCTION("""COMPUTED_VALUE"""),"Este tercer   trimestre no hubo avance, este porcentaje de avance reflejado corresponde al segundo trimestre de 2022 ")</f>
        <v xml:space="preserve">Este tercer   trimestre no hubo avance, este porcentaje de avance reflejado corresponde al segundo trimestre de 2022 </v>
      </c>
      <c r="Q110" s="11">
        <f ca="1">IFERROR(__xludf.DUMMYFUNCTION("""COMPUTED_VALUE"""),44834)</f>
        <v>44834</v>
      </c>
      <c r="R110" s="12">
        <f ca="1">IFERROR(__xludf.DUMMYFUNCTION("""COMPUTED_VALUE"""),0.1)</f>
        <v>0.1</v>
      </c>
      <c r="S110" s="10" t="str">
        <f ca="1">IFERROR(__xludf.DUMMYFUNCTION("""COMPUTED_VALUE"""),"En  este cuarto seguimiento no se registro evidencia a esta actividad este porcentaje corresponde al tercer seguimiento")</f>
        <v>En  este cuarto seguimiento no se registro evidencia a esta actividad este porcentaje corresponde al tercer seguimiento</v>
      </c>
      <c r="T110" s="11">
        <f ca="1">IFERROR(__xludf.DUMMYFUNCTION("""COMPUTED_VALUE"""),44925)</f>
        <v>44925</v>
      </c>
      <c r="U110" s="10"/>
    </row>
    <row r="111" spans="1:21" ht="37.5" customHeight="1" x14ac:dyDescent="0.2">
      <c r="A111" s="10" t="str">
        <f ca="1">IFERROR(__xludf.DUMMYFUNCTION("""COMPUTED_VALUE"""),"Información y Comunicación")</f>
        <v>Información y Comunicación</v>
      </c>
      <c r="B111" s="10" t="str">
        <f ca="1">IFERROR(__xludf.DUMMYFUNCTION("""COMPUTED_VALUE"""),"Gestión Documental")</f>
        <v>Gestión Documental</v>
      </c>
      <c r="C111" s="10" t="str">
        <f ca="1">IFERROR(__xludf.DUMMYFUNCTION("""COMPUTED_VALUE"""),"Elaboración de un plan de trabajo. - Sensibilización al equipo directivo. - Recolección y Sistematización de Información.
 Análisis de la información. -  Consolidación de resultados. -  Elaboración de documento diagnóstico que debe contener: • Introducció"&amp;"n • Objetivos  • Alcance Metodología  • Antecedentes históricos de la entidad  • Medición de los archivos y fechas extremas • Sistemas de información Análisis de los ocho (8) procesos de la gestión documental • Evaluación y análisis de aspectos de conserv"&amp;"ación
 • Medición de condiciones ambientales  • Recomendaciones, plan de mejoramiento y ruta de acción.")</f>
        <v>Elaboración de un plan de trabajo. - Sensibilización al equipo directivo. - Recolección y Sistematización de Información.
 Análisis de la información. -  Consolidación de resultados. -  Elaboración de documento diagnóstico que debe contener: • Introducción • Objetivos  • Alcance Metodología  • Antecedentes históricos de la entidad  • Medición de los archivos y fechas extremas • Sistemas de información Análisis de los ocho (8) procesos de la gestión documental • Evaluación y análisis de aspectos de conservación
 • Medición de condiciones ambientales  • Recomendaciones, plan de mejoramiento y ruta de acción.</v>
      </c>
      <c r="D111" s="10" t="str">
        <f ca="1">IFERROR(__xludf.DUMMYFUNCTION("""COMPUTED_VALUE"""),"Actualización del Diagnóstico Integral de Archivo")</f>
        <v>Actualización del Diagnóstico Integral de Archivo</v>
      </c>
      <c r="E111" s="10" t="str">
        <f ca="1">IFERROR(__xludf.DUMMYFUNCTION("""COMPUTED_VALUE"""),"Diagnóstico Actualizado")</f>
        <v>Diagnóstico Actualizado</v>
      </c>
      <c r="F111" s="11">
        <f ca="1">IFERROR(__xludf.DUMMYFUNCTION("""COMPUTED_VALUE"""),44576)</f>
        <v>44576</v>
      </c>
      <c r="G111" s="11">
        <f ca="1">IFERROR(__xludf.DUMMYFUNCTION("""COMPUTED_VALUE"""),44926)</f>
        <v>44926</v>
      </c>
      <c r="H111" s="10" t="str">
        <f ca="1">IFERROR(__xludf.DUMMYFUNCTION("""COMPUTED_VALUE"""),"Profesional Especializado Gestión Documental")</f>
        <v>Profesional Especializado Gestión Documental</v>
      </c>
      <c r="I111" s="12">
        <f ca="1">IFERROR(__xludf.DUMMYFUNCTION("""COMPUTED_VALUE"""),0.1)</f>
        <v>0.1</v>
      </c>
      <c r="J111" s="10" t="str">
        <f ca="1">IFERROR(__xludf.DUMMYFUNCTION("""COMPUTED_VALUE"""),"ARCHIVO DE GESTIÓN MUNICIPIO DE PEREIRA
 https://docs.google.com/spreadsheets/d/1SFc1I8BNZ38yHD0VyB23_--7HcDF53R2/edit#gid=1040618084https://docs.google.com/spreadsheets/d/1SFc1I8BNZ38yHD0VyB23_--7HcDF53R2/edit#gid=1040618084
 ARCHIVO DE FONDOS ACUMUL"&amp;"ADOS MUNICIPIO DE PEREIRA
 https://docs.google.com/spreadsheets/d/12qklhJTpiAx2IKR1YJG6U79xgqBTgKTf/edit#gid=1040618084 
 CRONOGRAMA DE VISITAS AÑO 2022
 https://docs.google.com/spreadsheets/d/1rMW59lXbJnk1Q-138XsqYV8nV0GPpFrbOA7VvUiqLx4/edit?usp=shar"&amp;"ing")</f>
        <v>ARCHIVO DE GESTIÓN MUNICIPIO DE PEREIRA
 https://docs.google.com/spreadsheets/d/1SFc1I8BNZ38yHD0VyB23_--7HcDF53R2/edit#gid=1040618084https://docs.google.com/spreadsheets/d/1SFc1I8BNZ38yHD0VyB23_--7HcDF53R2/edit#gid=1040618084
 ARCHIVO DE FONDOS ACUMULADOS MUNICIPIO DE PEREIRA
 https://docs.google.com/spreadsheets/d/12qklhJTpiAx2IKR1YJG6U79xgqBTgKTf/edit#gid=1040618084 
 CRONOGRAMA DE VISITAS AÑO 2022
 https://docs.google.com/spreadsheets/d/1rMW59lXbJnk1Q-138XsqYV8nV0GPpFrbOA7VvUiqLx4/edit?usp=sharing</v>
      </c>
      <c r="K111" s="11">
        <f ca="1">IFERROR(__xludf.DUMMYFUNCTION("""COMPUTED_VALUE"""),44651)</f>
        <v>44651</v>
      </c>
      <c r="L111" s="12">
        <f ca="1">IFERROR(__xludf.DUMMYFUNCTION("""COMPUTED_VALUE"""),0.12)</f>
        <v>0.12</v>
      </c>
      <c r="M111" s="14" t="str">
        <f ca="1">IFERROR(__xludf.DUMMYFUNCTION("""COMPUTED_VALUE"""),"https://drive.google.com/drive/folders/1lqc4si5fUGO6sKTCjL-UBTP5Xe4wcTMl?usp=sharing")</f>
        <v>https://drive.google.com/drive/folders/1lqc4si5fUGO6sKTCjL-UBTP5Xe4wcTMl?usp=sharing</v>
      </c>
      <c r="N111" s="11">
        <f ca="1">IFERROR(__xludf.DUMMYFUNCTION("""COMPUTED_VALUE"""),44742)</f>
        <v>44742</v>
      </c>
      <c r="O111" s="12">
        <f ca="1">IFERROR(__xludf.DUMMYFUNCTION("""COMPUTED_VALUE"""),0.2)</f>
        <v>0.2</v>
      </c>
      <c r="P111" s="10" t="str">
        <f ca="1">IFERROR(__xludf.DUMMYFUNCTION("""COMPUTED_VALUE"""),"FORMATOS ARCHIVOS DE GESTIÓN MUNICIPIO DE PEREIRA 2022
NUEVO ARCHIVO AJUSTABLE A LA ENTREGA DIA: https://docs.google.com/document/d/1C1reN7o6pRFUnD10gJPQ3MhQB3sPtJMI/edit?usp=sharing&amp;ouid=109814808864588808283&amp;rtpof=true&amp;sd=true 
Se programara para el"&amp;" mes de septiembre realizar capacitación y visitas en la recopilación de información que corresponde a los Archivos de Gestión y descargar en los siguientes formatos y nuevo documento de word según recomendaciones brindadas por enlace territorial del Arch"&amp;"ivo General de la NAción - AGN 
")</f>
        <v xml:space="preserve">FORMATOS ARCHIVOS DE GESTIÓN MUNICIPIO DE PEREIRA 2022
NUEVO ARCHIVO AJUSTABLE A LA ENTREGA DIA: https://docs.google.com/document/d/1C1reN7o6pRFUnD10gJPQ3MhQB3sPtJMI/edit?usp=sharing&amp;ouid=109814808864588808283&amp;rtpof=true&amp;sd=true 
Se programara para el mes de septiembre realizar capacitación y visitas en la recopilación de información que corresponde a los Archivos de Gestión y descargar en los siguientes formatos y nuevo documento de word según recomendaciones brindadas por enlace territorial del Archivo General de la NAción - AGN 
</v>
      </c>
      <c r="Q111" s="11">
        <f ca="1">IFERROR(__xludf.DUMMYFUNCTION("""COMPUTED_VALUE"""),44803)</f>
        <v>44803</v>
      </c>
      <c r="R111" s="12">
        <f ca="1">IFERROR(__xludf.DUMMYFUNCTION("""COMPUTED_VALUE"""),0.3)</f>
        <v>0.3</v>
      </c>
      <c r="S111" s="10" t="str">
        <f ca="1">IFERROR(__xludf.DUMMYFUNCTION("""COMPUTED_VALUE"""),"1. Se esta trabajando en la matriz indicada por el enlace territorial AGN.
https://docs.google.com/spreadsheets/d/1pwf-ONEwLw9qpdhUN281vOfeFubOqWnJ/edit?usp=share_link&amp;ouid=109108863623103796870&amp;rtpof=true&amp;sd=true  
2. Se envia SAIA 51456 del 19 de sept"&amp;"iembre de 2022, en el que establece cronograma para capacitación en el manejo de la matriz de archivo 
https://drive.google.com/file/d/1tay1APYzXo_kyLlRX_ALQQNS9Q1dRgzq/view?usp=share_link   
3. Evidencia de capacitación DIA de gestión Acta 67 del 21 de"&amp;" septiembre de 2022
https://drive.google.com/file/d/1WbrVNg6WusaItQwDECrPdIrMVOgTuzKS/view?usp=share_link  
""")</f>
        <v>1. Se esta trabajando en la matriz indicada por el enlace territorial AGN.
https://docs.google.com/spreadsheets/d/1pwf-ONEwLw9qpdhUN281vOfeFubOqWnJ/edit?usp=share_link&amp;ouid=109108863623103796870&amp;rtpof=true&amp;sd=true  
2. Se envia SAIA 51456 del 19 de septiembre de 2022, en el que establece cronograma para capacitación en el manejo de la matriz de archivo 
https://drive.google.com/file/d/1tay1APYzXo_kyLlRX_ALQQNS9Q1dRgzq/view?usp=share_link   
3. Evidencia de capacitación DIA de gestión Acta 67 del 21 de septiembre de 2022
https://drive.google.com/file/d/1WbrVNg6WusaItQwDECrPdIrMVOgTuzKS/view?usp=share_link  
"</v>
      </c>
      <c r="T111" s="11">
        <f ca="1">IFERROR(__xludf.DUMMYFUNCTION("""COMPUTED_VALUE"""),44926)</f>
        <v>44926</v>
      </c>
      <c r="U111" s="10" t="str">
        <f ca="1">IFERROR(__xludf.DUMMYFUNCTION("""COMPUTED_VALUE"""),"INFORME DE ENTREGA DE EVIDENCIA CONCEPTUANDO LO PRESENTADO POR CADA SECRETARIA")</f>
        <v>INFORME DE ENTREGA DE EVIDENCIA CONCEPTUANDO LO PRESENTADO POR CADA SECRETARIA</v>
      </c>
    </row>
    <row r="112" spans="1:21" ht="37.5" customHeight="1" x14ac:dyDescent="0.2">
      <c r="A112" s="10" t="str">
        <f ca="1">IFERROR(__xludf.DUMMYFUNCTION("""COMPUTED_VALUE"""),"Información y Comunicación")</f>
        <v>Información y Comunicación</v>
      </c>
      <c r="B112" s="10" t="str">
        <f ca="1">IFERROR(__xludf.DUMMYFUNCTION("""COMPUTED_VALUE"""),"Gestión Documental")</f>
        <v>Gestión Documental</v>
      </c>
      <c r="C112" s="10" t="str">
        <f ca="1">IFERROR(__xludf.DUMMYFUNCTION("""COMPUTED_VALUE"""),"• Compilación de Información Institucional.
 • Análisis e interpretación de la información institucional ( Entrevistas y CCD)
 • Valoración documental.
 • Elaboración de las Tablsa de Retención Documental – TRD.
 • Consultar el Banco Terminológico de Seri"&amp;"es y Subseries.
 • Presentación de las TRD 
 Evaluación del área de gestion documental 
 Aprobación de CIGYD
 Evaluación técnica y convalidación.
 Publicación pagina web
 Risgistro Único de Series Documentales.
 Capacitaciones 
 Seguimiento a la Aplicació"&amp;"n de las TRD
 Implementación de TRD (Eliminación y Transferencias Documentales).")</f>
        <v>• Compilación de Información Institucional.
 • Análisis e interpretación de la información institucional ( Entrevistas y CCD)
 • Valoración documental.
 • Elaboración de las Tablsa de Retención Documental – TRD.
 • Consultar el Banco Terminológico de Series y Subseries.
 • Presentación de las TRD 
 Evaluación del área de gestion documental 
 Aprobación de CIGYD
 Evaluación técnica y convalidación.
 Publicación pagina web
 Risgistro Único de Series Documentales.
 Capacitaciones 
 Seguimiento a la Aplicación de las TRD
 Implementación de TRD (Eliminación y Transferencias Documentales).</v>
      </c>
      <c r="D112" s="10" t="str">
        <f ca="1">IFERROR(__xludf.DUMMYFUNCTION("""COMPUTED_VALUE"""),"Tablas de Retención Documental Convalidadas")</f>
        <v>Tablas de Retención Documental Convalidadas</v>
      </c>
      <c r="E112" s="10" t="str">
        <f ca="1">IFERROR(__xludf.DUMMYFUNCTION("""COMPUTED_VALUE"""),"Convalidadas por el Consejo Departamental de Archivo")</f>
        <v>Convalidadas por el Consejo Departamental de Archivo</v>
      </c>
      <c r="F112" s="11">
        <f ca="1">IFERROR(__xludf.DUMMYFUNCTION("""COMPUTED_VALUE"""),44608)</f>
        <v>44608</v>
      </c>
      <c r="G112" s="11">
        <f ca="1">IFERROR(__xludf.DUMMYFUNCTION("""COMPUTED_VALUE"""),44926)</f>
        <v>44926</v>
      </c>
      <c r="H112" s="10" t="str">
        <f ca="1">IFERROR(__xludf.DUMMYFUNCTION("""COMPUTED_VALUE"""),"Profesional Especializado Gestión Documental")</f>
        <v>Profesional Especializado Gestión Documental</v>
      </c>
      <c r="I112" s="12">
        <f ca="1">IFERROR(__xludf.DUMMYFUNCTION("""COMPUTED_VALUE"""),0.8)</f>
        <v>0.8</v>
      </c>
      <c r="J112" s="10" t="str">
        <f ca="1">IFERROR(__xludf.DUMMYFUNCTION("""COMPUTED_VALUE"""),"DECRETO 122 DE 2021 ""ORGANIGRAMA""
 https://drive.google.com/file/d/1u1NguWNLPgshfLQKOsnWkbwnoiK2eI_F/view?usp=sharing 
 ENLACES DE ARCHIVO 2022
 https://docs.google.com/spreadsheets/d/1Dq7Yl52sIhvM2sy_hYqc-BwSsAhJ6TK2/edit?usp=sharing&amp;ouid=109814808"&amp;"864588808283&amp;rtpof=true&amp;sd=true
 CRONOGRAMA 2022
 https://docs.google.com/spreadsheets/d/1rMW59lXbJnk1Q-138XsqYV8nV0GPpFrbOA7VvUiqLx4/edit?usp=sharing 
 ACTAS DE REUNIÓN ENLACES 
 https://drive.google.com/drive/folders/1RfxiU-SBp0z7MrxqkLZOWpmFvFK"&amp;"Uo6hW?usp=sharing 
 REGISTRO FOTOGRAFICO
 https://drive.google.com/drive/folders/1aak3OVZDsPuDwbVtzKwfmazUlwN1s3N-?usp=sharing 
 ENTREGA GOBERNACIÓN
 https://drive.google.com/drive/folders/1_A2ZI4VzuXrhtMMI6hGHPRU5r_zkE9NS?usp=sharing")</f>
        <v>DECRETO 122 DE 2021 "ORGANIGRAMA"
 https://drive.google.com/file/d/1u1NguWNLPgshfLQKOsnWkbwnoiK2eI_F/view?usp=sharing 
 ENLACES DE ARCHIVO 2022
 https://docs.google.com/spreadsheets/d/1Dq7Yl52sIhvM2sy_hYqc-BwSsAhJ6TK2/edit?usp=sharing&amp;ouid=109814808864588808283&amp;rtpof=true&amp;sd=true
 CRONOGRAMA 2022
 https://docs.google.com/spreadsheets/d/1rMW59lXbJnk1Q-138XsqYV8nV0GPpFrbOA7VvUiqLx4/edit?usp=sharing 
 ACTAS DE REUNIÓN ENLACES 
 https://drive.google.com/drive/folders/1RfxiU-SBp0z7MrxqkLZOWpmFvFKUo6hW?usp=sharing 
 REGISTRO FOTOGRAFICO
 https://drive.google.com/drive/folders/1aak3OVZDsPuDwbVtzKwfmazUlwN1s3N-?usp=sharing 
 ENTREGA GOBERNACIÓN
 https://drive.google.com/drive/folders/1_A2ZI4VzuXrhtMMI6hGHPRU5r_zkE9NS?usp=sharing</v>
      </c>
      <c r="K112" s="11">
        <f ca="1">IFERROR(__xludf.DUMMYFUNCTION("""COMPUTED_VALUE"""),44651)</f>
        <v>44651</v>
      </c>
      <c r="L112" s="12">
        <f ca="1">IFERROR(__xludf.DUMMYFUNCTION("""COMPUTED_VALUE"""),0.9)</f>
        <v>0.9</v>
      </c>
      <c r="M112" s="14" t="str">
        <f ca="1">IFERROR(__xludf.DUMMYFUNCTION("""COMPUTED_VALUE"""),"https://drive.google.com/drive/folders/1aerUG0u_QHWrW5YxAQ2r64CRftuwRN4p?usp=sharing")</f>
        <v>https://drive.google.com/drive/folders/1aerUG0u_QHWrW5YxAQ2r64CRftuwRN4p?usp=sharing</v>
      </c>
      <c r="N112" s="11">
        <f ca="1">IFERROR(__xludf.DUMMYFUNCTION("""COMPUTED_VALUE"""),44742)</f>
        <v>44742</v>
      </c>
      <c r="O112" s="12">
        <f ca="1">IFERROR(__xludf.DUMMYFUNCTION("""COMPUTED_VALUE"""),0.95)</f>
        <v>0.95</v>
      </c>
      <c r="P112" s="10" t="str">
        <f ca="1">IFERROR(__xludf.DUMMYFUNCTION("""COMPUTED_VALUE"""),"ajustes CAT - ALCALDIA MUNICIPAL DE PEREIRA
AMPLIACIÓN CAT: https://drive.google.com/file/d/1SozdLR2FCvjW7-CnIeJEA6b8GLU64F5k/view?usp=sharing 
AJUSTES A LAS SECRETARIAS TRD: https://drive.google.com/drive/folders/1H6j0iO7ly8fnU1-b3-_Zt3IyQ-DxSENK?usp"&amp;"=sharing 
""Las TRD - CCD se devolvieron ya que algunas series y subseries documentales no cumplen con parametros establecidos para su aprobación, se solicito ampliación de entrega, se realiza visita al Consejo Departamental de Archivo donde se brinda i"&amp;"ndicaciones claras, de igual manera se recibe visita del enlace territorial del AGN para el mes de septiembre se programo y asi realizar entrega de todo el material que este comprende el 23 de septiembre de 2022, esperando sean validadas.
Igualmente se r"&amp;"ealizan visitas a los enlaces de cada secretaria con el fin corroborar la información plasmada en las TRD que les corresponde.""")</f>
        <v>ajustes CAT - ALCALDIA MUNICIPAL DE PEREIRA
AMPLIACIÓN CAT: https://drive.google.com/file/d/1SozdLR2FCvjW7-CnIeJEA6b8GLU64F5k/view?usp=sharing 
AJUSTES A LAS SECRETARIAS TRD: https://drive.google.com/drive/folders/1H6j0iO7ly8fnU1-b3-_Zt3IyQ-DxSENK?usp=sharing 
"Las TRD - CCD se devolvieron ya que algunas series y subseries documentales no cumplen con parametros establecidos para su aprobación, se solicito ampliación de entrega, se realiza visita al Consejo Departamental de Archivo donde se brinda indicaciones claras, de igual manera se recibe visita del enlace territorial del AGN para el mes de septiembre se programo y asi realizar entrega de todo el material que este comprende el 23 de septiembre de 2022, esperando sean validadas.
Igualmente se realizan visitas a los enlaces de cada secretaria con el fin corroborar la información plasmada en las TRD que les corresponde."</v>
      </c>
      <c r="Q112" s="11">
        <f ca="1">IFERROR(__xludf.DUMMYFUNCTION("""COMPUTED_VALUE"""),44803)</f>
        <v>44803</v>
      </c>
      <c r="R112" s="12">
        <f ca="1">IFERROR(__xludf.DUMMYFUNCTION("""COMPUTED_VALUE"""),1)</f>
        <v>1</v>
      </c>
      <c r="S112" s="10" t="str">
        <f ca="1">IFERROR(__xludf.DUMMYFUNCTION("""COMPUTED_VALUE"""),"1. Enlace del Acta de aprobación TRD
 PENDIENTE EL DOCUMENTO PARA ENLACE
2. Entrega TRD a los despachos 
3. Entrega de Cronograma de capacitación e implementación de las TRD
https://drive.google.com/drive/folders/1oHACbbsPvOsnpzxPXTNR0A4ZtF5qOLpX?usp=sh"&amp;"are_link ")</f>
        <v xml:space="preserve">1. Enlace del Acta de aprobación TRD
 PENDIENTE EL DOCUMENTO PARA ENLACE
2. Entrega TRD a los despachos 
3. Entrega de Cronograma de capacitación e implementación de las TRD
https://drive.google.com/drive/folders/1oHACbbsPvOsnpzxPXTNR0A4ZtF5qOLpX?usp=share_link </v>
      </c>
      <c r="T112" s="11">
        <f ca="1">IFERROR(__xludf.DUMMYFUNCTION("""COMPUTED_VALUE"""),44926)</f>
        <v>44926</v>
      </c>
      <c r="U112" s="10" t="str">
        <f ca="1">IFERROR(__xludf.DUMMYFUNCTION("""COMPUTED_VALUE"""),"Aprobación de Tablas de Retención Documental del Municipio de Pereira segun el Acta del Consejo Departamental de Archivo No. del noviembre de 2022.
Entrega TRD a las 16 despachos de Municipio para ser divulgadas e implementadas al interior de las secreta"&amp;"rias
Cronograma de Capacitación e implementación de las TRD 
")</f>
        <v xml:space="preserve">Aprobación de Tablas de Retención Documental del Municipio de Pereira segun el Acta del Consejo Departamental de Archivo No. del noviembre de 2022.
Entrega TRD a las 16 despachos de Municipio para ser divulgadas e implementadas al interior de las secretarias
Cronograma de Capacitación e implementación de las TRD 
</v>
      </c>
    </row>
    <row r="113" spans="1:21" ht="37.5" customHeight="1" x14ac:dyDescent="0.2">
      <c r="A113" s="10" t="str">
        <f ca="1">IFERROR(__xludf.DUMMYFUNCTION("""COMPUTED_VALUE"""),"Información y Comunicación")</f>
        <v>Información y Comunicación</v>
      </c>
      <c r="B113" s="10" t="str">
        <f ca="1">IFERROR(__xludf.DUMMYFUNCTION("""COMPUTED_VALUE"""),"Gestión Documental")</f>
        <v>Gestión Documental</v>
      </c>
      <c r="C113" s="10" t="str">
        <f ca="1">IFERROR(__xludf.DUMMYFUNCTION("""COMPUTED_VALUE"""),"Etapa 1 Compilación de información institucional
 Etapa 2 Diagnóstico
 Etapa 3 Elaboración y ejecución del plan de trabajo archivístico integral
 Etapa 4 Valoración
 Elaboración de las Tablas de Valoración Documental - TVD
 • Consultar el Banco Terminológ"&amp;"ico de Series y Subseries.
 • Presentación de las TVD 
 Evaluación del área de gestion documental 
 Aprobación de CIGYD
 Evaluación técnica y convalidación.
 Publicación página web
 Risgistro Único de Series Documentales.
 Implementación de TVD (Eliminaci"&amp;"ón y Transferencias Documentales).")</f>
        <v>Etapa 1 Compilación de información institucional
 Etapa 2 Diagnóstico
 Etapa 3 Elaboración y ejecución del plan de trabajo archivístico integral
 Etapa 4 Valoración
 Elaboración de las Tablas de Valoración Documental - TVD
 • Consultar el Banco Terminológico de Series y Subseries.
 • Presentación de las TVD 
 Evaluación del área de gestion documental 
 Aprobación de CIGYD
 Evaluación técnica y convalidación.
 Publicación página web
 Risgistro Único de Series Documentales.
 Implementación de TVD (Eliminación y Transferencias Documentales).</v>
      </c>
      <c r="D113" s="10" t="str">
        <f ca="1">IFERROR(__xludf.DUMMYFUNCTION("""COMPUTED_VALUE"""),"Intervención del Fondo Documental Acumulado - Tablas de Valoración Documental.")</f>
        <v>Intervención del Fondo Documental Acumulado - Tablas de Valoración Documental.</v>
      </c>
      <c r="E113" s="10" t="str">
        <f ca="1">IFERROR(__xludf.DUMMYFUNCTION("""COMPUTED_VALUE"""),"Inventarios Documentales")</f>
        <v>Inventarios Documentales</v>
      </c>
      <c r="F113" s="11">
        <f ca="1">IFERROR(__xludf.DUMMYFUNCTION("""COMPUTED_VALUE"""),44576)</f>
        <v>44576</v>
      </c>
      <c r="G113" s="11">
        <f ca="1">IFERROR(__xludf.DUMMYFUNCTION("""COMPUTED_VALUE"""),44926)</f>
        <v>44926</v>
      </c>
      <c r="H113" s="10" t="str">
        <f ca="1">IFERROR(__xludf.DUMMYFUNCTION("""COMPUTED_VALUE"""),"Profesional Especializado Gestión Documental")</f>
        <v>Profesional Especializado Gestión Documental</v>
      </c>
      <c r="I113" s="12">
        <f ca="1">IFERROR(__xludf.DUMMYFUNCTION("""COMPUTED_VALUE"""),0.1)</f>
        <v>0.1</v>
      </c>
      <c r="J113" s="10" t="str">
        <f ca="1">IFERROR(__xludf.DUMMYFUNCTION("""COMPUTED_VALUE"""),"Plataforma MIN
 http://min.pereira.gov.co/alcaldia2020/index.php 
 Registro fotografico
 https://drive.google.com/drive/folders/1hqMMt8cjbsP9TcoDb8vqOiJMYQiQuG0H?usp=sharing 
 INFORME ESTADO DEL ARCHIVO HISTORICO2022
 https://drive.google.com/file/d/"&amp;"1ZT7YXVwhSRWwkRr7CHVPANGu996Ru6v5/view?usp=sharing 
 Registro seguimiento de Archivo historico
 https://drive.google.com/file/d/1XzmJ0YUl-_Ly1p5wxbfEJuuZhBo-3M73/view?usp=sharing")</f>
        <v>Plataforma MIN
 http://min.pereira.gov.co/alcaldia2020/index.php 
 Registro fotografico
 https://drive.google.com/drive/folders/1hqMMt8cjbsP9TcoDb8vqOiJMYQiQuG0H?usp=sharing 
 INFORME ESTADO DEL ARCHIVO HISTORICO2022
 https://drive.google.com/file/d/1ZT7YXVwhSRWwkRr7CHVPANGu996Ru6v5/view?usp=sharing 
 Registro seguimiento de Archivo historico
 https://drive.google.com/file/d/1XzmJ0YUl-_Ly1p5wxbfEJuuZhBo-3M73/view?usp=sharing</v>
      </c>
      <c r="K113" s="11">
        <f ca="1">IFERROR(__xludf.DUMMYFUNCTION("""COMPUTED_VALUE"""),44651)</f>
        <v>44651</v>
      </c>
      <c r="L113" s="12">
        <f ca="1">IFERROR(__xludf.DUMMYFUNCTION("""COMPUTED_VALUE"""),0.2)</f>
        <v>0.2</v>
      </c>
      <c r="M113" s="10" t="str">
        <f ca="1">IFERROR(__xludf.DUMMYFUNCTION("""COMPUTED_VALUE"""),"plataforma MIN - Enlace AHMP
 http://min.pereira.gov.co/alcaldia2020/index.php")</f>
        <v>plataforma MIN - Enlace AHMP
 http://min.pereira.gov.co/alcaldia2020/index.php</v>
      </c>
      <c r="N113" s="11">
        <f ca="1">IFERROR(__xludf.DUMMYFUNCTION("""COMPUTED_VALUE"""),44742)</f>
        <v>44742</v>
      </c>
      <c r="O113" s="12">
        <f ca="1">IFERROR(__xludf.DUMMYFUNCTION("""COMPUTED_VALUE"""),0.3)</f>
        <v>0.3</v>
      </c>
      <c r="P113" s="10" t="str">
        <f ca="1">IFERROR(__xludf.DUMMYFUNCTION("""COMPUTED_VALUE"""),"INVENTARIOS AHMP
""A la fecha se cuenta con la información realizada por el hitoriados. 
A la falta de personal no se ha logrado avanzar en fondos acumulados.""")</f>
        <v>INVENTARIOS AHMP
"A la fecha se cuenta con la información realizada por el hitoriados. 
A la falta de personal no se ha logrado avanzar en fondos acumulados."</v>
      </c>
      <c r="Q113" s="11">
        <f ca="1">IFERROR(__xludf.DUMMYFUNCTION("""COMPUTED_VALUE"""),44803)</f>
        <v>44803</v>
      </c>
      <c r="R113" s="12">
        <f ca="1">IFERROR(__xludf.DUMMYFUNCTION("""COMPUTED_VALUE"""),0.65)</f>
        <v>0.65</v>
      </c>
      <c r="S113" s="10" t="str">
        <f ca="1">IFERROR(__xludf.DUMMYFUNCTION("""COMPUTED_VALUE"""),"INFORMES HISTORIADOR 2016-2022
https://drive.google.com/drive/folders/15RxWWDzOxxzDiCzLQJKqmRYHag-stPd0?usp=sharing  
INVENTARIOS
https://drive.google.com/drive/folders/1BD2l6g7sYzBBFDlI0ghBLRiF6kC7D1An?usp=share_link  ")</f>
        <v xml:space="preserve">INFORMES HISTORIADOR 2016-2022
https://drive.google.com/drive/folders/15RxWWDzOxxzDiCzLQJKqmRYHag-stPd0?usp=sharing  
INVENTARIOS
https://drive.google.com/drive/folders/1BD2l6g7sYzBBFDlI0ghBLRiF6kC7D1An?usp=share_link  </v>
      </c>
      <c r="T113" s="11">
        <f ca="1">IFERROR(__xludf.DUMMYFUNCTION("""COMPUTED_VALUE"""),44926)</f>
        <v>44926</v>
      </c>
      <c r="U113" s="10" t="str">
        <f ca="1">IFERROR(__xludf.DUMMYFUNCTION("""COMPUTED_VALUE"""),"A la fecha se tiene identificados 19 archivos historicos trabajados desde el año 2016 al 2022.
Información soportada en cada uno de los informes presentados")</f>
        <v>A la fecha se tiene identificados 19 archivos historicos trabajados desde el año 2016 al 2022.
Información soportada en cada uno de los informes presentados</v>
      </c>
    </row>
    <row r="114" spans="1:21" ht="37.5" customHeight="1" x14ac:dyDescent="0.2">
      <c r="A114" s="10" t="str">
        <f ca="1">IFERROR(__xludf.DUMMYFUNCTION("""COMPUTED_VALUE"""),"Información y Comunicación")</f>
        <v>Información y Comunicación</v>
      </c>
      <c r="B114" s="10" t="str">
        <f ca="1">IFERROR(__xludf.DUMMYFUNCTION("""COMPUTED_VALUE"""),"Gestión Documental")</f>
        <v>Gestión Documental</v>
      </c>
      <c r="C114" s="10" t="str">
        <f ca="1">IFERROR(__xludf.DUMMYFUNCTION("""COMPUTED_VALUE"""),"Capacitaciones en organizacion de archivo e inventario documental.
 Aplicación de los conceptos en organizacion de archivo e inventarios documentales 
 Seguimiento a las Capacitaciones
 Organización de Archivo de cada secretarÍa
 Levantamiento de la Hoja "&amp;"de Control de Documentos
 Foliación. 
 Levantamiento de Inventarios.")</f>
        <v>Capacitaciones en organizacion de archivo e inventario documental.
 Aplicación de los conceptos en organizacion de archivo e inventarios documentales 
 Seguimiento a las Capacitaciones
 Organización de Archivo de cada secretarÍa
 Levantamiento de la Hoja de Control de Documentos
 Foliación. 
 Levantamiento de Inventarios.</v>
      </c>
      <c r="D114" s="10" t="str">
        <f ca="1">IFERROR(__xludf.DUMMYFUNCTION("""COMPUTED_VALUE"""),"Inventarios Documentales de Archivos de Gestión en el formato FUID")</f>
        <v>Inventarios Documentales de Archivos de Gestión en el formato FUID</v>
      </c>
      <c r="E114" s="10" t="str">
        <f ca="1">IFERROR(__xludf.DUMMYFUNCTION("""COMPUTED_VALUE"""),"Inventarios Documentales recibidos/ Total Secretarias de la Administración")</f>
        <v>Inventarios Documentales recibidos/ Total Secretarias de la Administración</v>
      </c>
      <c r="F114" s="11">
        <f ca="1">IFERROR(__xludf.DUMMYFUNCTION("""COMPUTED_VALUE"""),44576)</f>
        <v>44576</v>
      </c>
      <c r="G114" s="11">
        <f ca="1">IFERROR(__xludf.DUMMYFUNCTION("""COMPUTED_VALUE"""),44926)</f>
        <v>44926</v>
      </c>
      <c r="H114" s="10" t="str">
        <f ca="1">IFERROR(__xludf.DUMMYFUNCTION("""COMPUTED_VALUE"""),"Profesional Especializado Gestión Documental")</f>
        <v>Profesional Especializado Gestión Documental</v>
      </c>
      <c r="I114" s="12">
        <f ca="1">IFERROR(__xludf.DUMMYFUNCTION("""COMPUTED_VALUE"""),0.5)</f>
        <v>0.5</v>
      </c>
      <c r="J114" s="10" t="str">
        <f ca="1">IFERROR(__xludf.DUMMYFUNCTION("""COMPUTED_VALUE"""),"1 INVENTARIOS
 https://drive.google.com/drive/folders/1gdEtT19SpRMlc--PjueBF59DyCm6J7a2?usp=sharing 
 2. INVENTARIOS
 https://drive.google.com/drive/folders/1-WxKT9mhcZQQ51d_dzkc-Hc0Nbm1goxl?usp=sharing 
 3. ARCHIVOS DE GESTIÓN 
 https://docs.google.com/s"&amp;"preadsheets/d/1SFc1I8BNZ38yHD0VyB23_--7HcDF53R2/edit#gid=1040618084https://docs.google.com/spreadsheets/d/1SFc1I8BNZ38yHD0VyB23_--7HcDF53R2/edit#gid=1040618084 
 REGISTRO DE INVENTARIOS REVISADOS Y CARGADOS
 https://docs.google.com/spreadsheets/d/1bQ90l"&amp;"IRFSMp58bPImW7dsEfp46MlT3_v/edit?usp=sharing&amp;ouid=109814808864588808283&amp;rtpof=true&amp;sd=true")</f>
        <v>1 INVENTARIOS
 https://drive.google.com/drive/folders/1gdEtT19SpRMlc--PjueBF59DyCm6J7a2?usp=sharing 
 2. INVENTARIOS
 https://drive.google.com/drive/folders/1-WxKT9mhcZQQ51d_dzkc-Hc0Nbm1goxl?usp=sharing 
 3. ARCHIVOS DE GESTIÓN 
 https://docs.google.com/spreadsheets/d/1SFc1I8BNZ38yHD0VyB23_--7HcDF53R2/edit#gid=1040618084https://docs.google.com/spreadsheets/d/1SFc1I8BNZ38yHD0VyB23_--7HcDF53R2/edit#gid=1040618084 
 REGISTRO DE INVENTARIOS REVISADOS Y CARGADOS
 https://docs.google.com/spreadsheets/d/1bQ90lIRFSMp58bPImW7dsEfp46MlT3_v/edit?usp=sharing&amp;ouid=109814808864588808283&amp;rtpof=true&amp;sd=true</v>
      </c>
      <c r="K114" s="11">
        <f ca="1">IFERROR(__xludf.DUMMYFUNCTION("""COMPUTED_VALUE"""),44651)</f>
        <v>44651</v>
      </c>
      <c r="L114" s="12">
        <f ca="1">IFERROR(__xludf.DUMMYFUNCTION("""COMPUTED_VALUE"""),0.6)</f>
        <v>0.6</v>
      </c>
      <c r="M114" s="14" t="str">
        <f ca="1">IFERROR(__xludf.DUMMYFUNCTION("""COMPUTED_VALUE"""),"https://docs.google.com/spreadsheets/d/1bQ90lIRFSMp58bPImW7dsEfp46MlT3_v/edit?usp=sharing&amp;ouid=109814808864588808283&amp;rtpof=true&amp;sd=true")</f>
        <v>https://docs.google.com/spreadsheets/d/1bQ90lIRFSMp58bPImW7dsEfp46MlT3_v/edit?usp=sharing&amp;ouid=109814808864588808283&amp;rtpof=true&amp;sd=true</v>
      </c>
      <c r="N114" s="11">
        <f ca="1">IFERROR(__xludf.DUMMYFUNCTION("""COMPUTED_VALUE"""),44742)</f>
        <v>44742</v>
      </c>
      <c r="O114" s="12">
        <f ca="1">IFERROR(__xludf.DUMMYFUNCTION("""COMPUTED_VALUE"""),0.1)</f>
        <v>0.1</v>
      </c>
      <c r="P114" s="10" t="str">
        <f ca="1">IFERROR(__xludf.DUMMYFUNCTION("""COMPUTED_VALUE"""),"FORMATO DIA GESTION 
Se da inicio a esta actividad con el contratista asignado.")</f>
        <v>FORMATO DIA GESTION 
Se da inicio a esta actividad con el contratista asignado.</v>
      </c>
      <c r="Q114" s="11">
        <f ca="1">IFERROR(__xludf.DUMMYFUNCTION("""COMPUTED_VALUE"""),44803)</f>
        <v>44803</v>
      </c>
      <c r="R114" s="12">
        <f ca="1">IFERROR(__xludf.DUMMYFUNCTION("""COMPUTED_VALUE"""),0.7)</f>
        <v>0.7</v>
      </c>
      <c r="S114" s="10" t="str">
        <f ca="1">IFERROR(__xludf.DUMMYFUNCTION("""COMPUTED_VALUE"""),"Formato de Diagnostico de Gestión Documental
https://docs.google.com/spreadsheets/d/1l_jcXH1FkKUFI4y-cWubw2a77uCqVhoN/edit?usp=sharing&amp;ouid=109108863623103796870&amp;rtpof=true&amp;sd=true 
Informe final DIA
(pd)
LISTADO DE INVENTARIOS
https://drive.google.c"&amp;"om/drive/folders/1U-685nYPlmeOzdIm7sMqlDA3kPpgL_Ej?usp=share_link ")</f>
        <v xml:space="preserve">Formato de Diagnostico de Gestión Documental
https://docs.google.com/spreadsheets/d/1l_jcXH1FkKUFI4y-cWubw2a77uCqVhoN/edit?usp=sharing&amp;ouid=109108863623103796870&amp;rtpof=true&amp;sd=true 
Informe final DIA
(pd)
LISTADO DE INVENTARIOS
https://drive.google.com/drive/folders/1U-685nYPlmeOzdIm7sMqlDA3kPpgL_Ej?usp=share_link </v>
      </c>
      <c r="T114" s="11">
        <f ca="1">IFERROR(__xludf.DUMMYFUNCTION("""COMPUTED_VALUE"""),44926)</f>
        <v>44926</v>
      </c>
      <c r="U114" s="10" t="str">
        <f ca="1">IFERROR(__xludf.DUMMYFUNCTION("""COMPUTED_VALUE"""),"Luego de realizar convocatoria de capacitación y socializacion de la matriz de Diagnsotico de Archivo Documentales, se da el plazo de entrega de información para recopilar datos y asi proceder a la etapa de analisis DIA.")</f>
        <v>Luego de realizar convocatoria de capacitación y socializacion de la matriz de Diagnsotico de Archivo Documentales, se da el plazo de entrega de información para recopilar datos y asi proceder a la etapa de analisis DIA.</v>
      </c>
    </row>
    <row r="115" spans="1:21" ht="37.5" customHeight="1" x14ac:dyDescent="0.2">
      <c r="A115" s="10" t="str">
        <f ca="1">IFERROR(__xludf.DUMMYFUNCTION("""COMPUTED_VALUE"""),"Información y Comunicación")</f>
        <v>Información y Comunicación</v>
      </c>
      <c r="B115" s="10" t="str">
        <f ca="1">IFERROR(__xludf.DUMMYFUNCTION("""COMPUTED_VALUE"""),"Gestión Documental")</f>
        <v>Gestión Documental</v>
      </c>
      <c r="C115" s="10" t="str">
        <f ca="1">IFERROR(__xludf.DUMMYFUNCTION("""COMPUTED_VALUE"""),"Capacitaciones en organizacion de archivo e inventario documental.
 Aplicación de los conceptos en organizacion de archivo e inventarios documentales 
 Seguimiento a las Capacitaciones
 Organización de Archivo por estructura 
 Levantamiento de Inventarios"&amp;" por periodos administrativos (Estructura Organizacional)")</f>
        <v>Capacitaciones en organizacion de archivo e inventario documental.
 Aplicación de los conceptos en organizacion de archivo e inventarios documentales 
 Seguimiento a las Capacitaciones
 Organización de Archivo por estructura 
 Levantamiento de Inventarios por periodos administrativos (Estructura Organizacional)</v>
      </c>
      <c r="D115" s="10" t="str">
        <f ca="1">IFERROR(__xludf.DUMMYFUNCTION("""COMPUTED_VALUE"""),"Inventarios Documentales del Archivo Central")</f>
        <v>Inventarios Documentales del Archivo Central</v>
      </c>
      <c r="E115" s="10" t="str">
        <f ca="1">IFERROR(__xludf.DUMMYFUNCTION("""COMPUTED_VALUE"""),"Inventarios Documentales elaborados y/o recibidos")</f>
        <v>Inventarios Documentales elaborados y/o recibidos</v>
      </c>
      <c r="F115" s="11">
        <f ca="1">IFERROR(__xludf.DUMMYFUNCTION("""COMPUTED_VALUE"""),44576)</f>
        <v>44576</v>
      </c>
      <c r="G115" s="11">
        <f ca="1">IFERROR(__xludf.DUMMYFUNCTION("""COMPUTED_VALUE"""),44926)</f>
        <v>44926</v>
      </c>
      <c r="H115" s="10" t="str">
        <f ca="1">IFERROR(__xludf.DUMMYFUNCTION("""COMPUTED_VALUE"""),"Profesional Especializado Gestión Documental")</f>
        <v>Profesional Especializado Gestión Documental</v>
      </c>
      <c r="I115" s="12">
        <f ca="1">IFERROR(__xludf.DUMMYFUNCTION("""COMPUTED_VALUE"""),0.15)</f>
        <v>0.15</v>
      </c>
      <c r="J115" s="10" t="str">
        <f ca="1">IFERROR(__xludf.DUMMYFUNCTION("""COMPUTED_VALUE"""),"FUID ALCALDIA DE PEREIRA
 2014-2015
 https://drive.google.com/drive/folders/1-WxKT9mhcZQQ51d_dzkc-Hc0Nbm1goxl?usp=sharing 
 INVENTARIOS MUNICIPIO DE PEREIRA -SHAREPOINT
 https://docs.google.com/document/d/1yFV7YfqAowbsPPvjZrlS2mMGIM-Kdsyz/edit?usp=sha"&amp;"ring&amp;ouid=105766479348002182079&amp;rtpof=true&amp;sd=true 
 INVENTARIOS FONDOS ACUMULADOS (actualizado 2022) https://docs.google.com/spreadsheets/d/12qklhJTpiAx2IKR1YJG6U79xgqBTgKTf/edit?usp=sharing&amp;ouid=105766479348002182079&amp;rtpof=true&amp;sd=true 
 Registro Fo"&amp;"trografico Archivo Galán
 https://drive.google.com/drive/folders/1Q4tJ0s85kHeLZlgqSH8Gyc64RjMYoAJD?usp=sharing")</f>
        <v>FUID ALCALDIA DE PEREIRA
 2014-2015
 https://drive.google.com/drive/folders/1-WxKT9mhcZQQ51d_dzkc-Hc0Nbm1goxl?usp=sharing 
 INVENTARIOS MUNICIPIO DE PEREIRA -SHAREPOINT
 https://docs.google.com/document/d/1yFV7YfqAowbsPPvjZrlS2mMGIM-Kdsyz/edit?usp=sharing&amp;ouid=105766479348002182079&amp;rtpof=true&amp;sd=true 
 INVENTARIOS FONDOS ACUMULADOS (actualizado 2022) https://docs.google.com/spreadsheets/d/12qklhJTpiAx2IKR1YJG6U79xgqBTgKTf/edit?usp=sharing&amp;ouid=105766479348002182079&amp;rtpof=true&amp;sd=true 
 Registro Fotrografico Archivo Galán
 https://drive.google.com/drive/folders/1Q4tJ0s85kHeLZlgqSH8Gyc64RjMYoAJD?usp=sharing</v>
      </c>
      <c r="K115" s="11">
        <f ca="1">IFERROR(__xludf.DUMMYFUNCTION("""COMPUTED_VALUE"""),44651)</f>
        <v>44651</v>
      </c>
      <c r="L115" s="12">
        <f ca="1">IFERROR(__xludf.DUMMYFUNCTION("""COMPUTED_VALUE"""),0.15)</f>
        <v>0.15</v>
      </c>
      <c r="M115" s="14" t="str">
        <f ca="1">IFERROR(__xludf.DUMMYFUNCTION("""COMPUTED_VALUE"""),"https://docs.google.com/spreadsheets/d/1bQ90lIRFSMp58bPImW7dsEfp46MlT3_v/edit?usp=sharing&amp;ouid=109814808864588808283&amp;rtpof=true&amp;sd=true")</f>
        <v>https://docs.google.com/spreadsheets/d/1bQ90lIRFSMp58bPImW7dsEfp46MlT3_v/edit?usp=sharing&amp;ouid=109814808864588808283&amp;rtpof=true&amp;sd=true</v>
      </c>
      <c r="N115" s="11">
        <f ca="1">IFERROR(__xludf.DUMMYFUNCTION("""COMPUTED_VALUE"""),44742)</f>
        <v>44742</v>
      </c>
      <c r="O115" s="12">
        <f ca="1">IFERROR(__xludf.DUMMYFUNCTION("""COMPUTED_VALUE"""),0.15)</f>
        <v>0.15</v>
      </c>
      <c r="P115" s="10" t="str">
        <f ca="1">IFERROR(__xludf.DUMMYFUNCTION("""COMPUTED_VALUE"""),"No se ha adelantado por falta de personal")</f>
        <v>No se ha adelantado por falta de personal</v>
      </c>
      <c r="Q115" s="11">
        <f ca="1">IFERROR(__xludf.DUMMYFUNCTION("""COMPUTED_VALUE"""),44803)</f>
        <v>44803</v>
      </c>
      <c r="R115" s="12">
        <f ca="1">IFERROR(__xludf.DUMMYFUNCTION("""COMPUTED_VALUE"""),0.7)</f>
        <v>0.7</v>
      </c>
      <c r="S115" s="10" t="str">
        <f ca="1">IFERROR(__xludf.DUMMYFUNCTION("""COMPUTED_VALUE"""),"
INVENTARIOS
https://drive.google.com/drive/folders/1U-685nYPlmeOzdIm7sMqlDA3kPpgL_Ej?usp=share_link 
INFORME DE LO GESTIONADO EN INVENTARIOS:
https://docs.google.com/spreadsheets/d/1bQ90lIRFSMp58bPImW7dsEfp46MlT3_v/edit?usp=sharing&amp;ouid=109814808864588"&amp;"808283&amp;rtpof=true&amp;sd=true ")</f>
        <v xml:space="preserve">
INVENTARIOS
https://drive.google.com/drive/folders/1U-685nYPlmeOzdIm7sMqlDA3kPpgL_Ej?usp=share_link 
INFORME DE LO GESTIONADO EN INVENTARIOS:
https://docs.google.com/spreadsheets/d/1bQ90lIRFSMp58bPImW7dsEfp46MlT3_v/edit?usp=sharing&amp;ouid=109814808864588808283&amp;rtpof=true&amp;sd=true </v>
      </c>
      <c r="T115" s="11">
        <f ca="1">IFERROR(__xludf.DUMMYFUNCTION("""COMPUTED_VALUE"""),44926)</f>
        <v>44926</v>
      </c>
      <c r="U115" s="10" t="str">
        <f ca="1">IFERROR(__xludf.DUMMYFUNCTION("""COMPUTED_VALUE"""),"
Inforamación recopilada del 2016 al 2022, y con una estructura de Inventarios de documentos electronicos implementada - FUID.
Se deja registro de los inventarios recopilados en las vigencias anteriormente creando asi las estructura digital y proceder a "&amp;"la creación de los hipervínculos.")</f>
        <v xml:space="preserve">
Inforamación recopilada del 2016 al 2022, y con una estructura de Inventarios de documentos electronicos implementada - FUID.
Se deja registro de los inventarios recopilados en las vigencias anteriormente creando asi las estructura digital y proceder a la creación de los hipervínculos.</v>
      </c>
    </row>
    <row r="116" spans="1:21" ht="37.5" customHeight="1" x14ac:dyDescent="0.2">
      <c r="A116" s="10" t="str">
        <f ca="1">IFERROR(__xludf.DUMMYFUNCTION("""COMPUTED_VALUE"""),"Información y Comunicación")</f>
        <v>Información y Comunicación</v>
      </c>
      <c r="B116" s="10" t="str">
        <f ca="1">IFERROR(__xludf.DUMMYFUNCTION("""COMPUTED_VALUE"""),"Gestión Documental")</f>
        <v>Gestión Documental</v>
      </c>
      <c r="C116" s="10" t="str">
        <f ca="1">IFERROR(__xludf.DUMMYFUNCTION("""COMPUTED_VALUE"""),"Plan de Transferencias documentales
 Capacitaciones 
 Implementar el Plan deTransferencias Documentales")</f>
        <v>Plan de Transferencias documentales
 Capacitaciones 
 Implementar el Plan deTransferencias Documentales</v>
      </c>
      <c r="D116" s="10" t="str">
        <f ca="1">IFERROR(__xludf.DUMMYFUNCTION("""COMPUTED_VALUE"""),"Plan de Transferencias documentales e implementar")</f>
        <v>Plan de Transferencias documentales e implementar</v>
      </c>
      <c r="E116" s="10" t="str">
        <f ca="1">IFERROR(__xludf.DUMMYFUNCTION("""COMPUTED_VALUE"""),"Transferencias efectivas /No. De solicitudes de transferencias")</f>
        <v>Transferencias efectivas /No. De solicitudes de transferencias</v>
      </c>
      <c r="F116" s="11">
        <f ca="1">IFERROR(__xludf.DUMMYFUNCTION("""COMPUTED_VALUE"""),44576)</f>
        <v>44576</v>
      </c>
      <c r="G116" s="11">
        <f ca="1">IFERROR(__xludf.DUMMYFUNCTION("""COMPUTED_VALUE"""),44926)</f>
        <v>44926</v>
      </c>
      <c r="H116" s="10" t="str">
        <f ca="1">IFERROR(__xludf.DUMMYFUNCTION("""COMPUTED_VALUE"""),"Profesional Especializado Gestión Documental")</f>
        <v>Profesional Especializado Gestión Documental</v>
      </c>
      <c r="I116" s="12">
        <f ca="1">IFERROR(__xludf.DUMMYFUNCTION("""COMPUTED_VALUE"""),0.1)</f>
        <v>0.1</v>
      </c>
      <c r="J116" s="10" t="str">
        <f ca="1">IFERROR(__xludf.DUMMYFUNCTION("""COMPUTED_VALUE"""),"MANUAL DE GESTIÓN
 https://docs.google.com/document/d/1ysAIHpeNiacdPbm5qcjRMT7S-g_OcFAz/edit?usp=sharing&amp;ouid=109108863623103796870&amp;rtpof=true&amp;sd=true 
 MANUAL DE PROCESOS Y PROCEDIMIENTOS DOCUMENTALES
 https://docs.google.com/document/d/18AF7uzJt1k"&amp;"RoU6u1gAZ7bAcHRYAiu7cb/edit?usp=sharing&amp;ouid=109108863623103796870&amp;rtpof=true&amp;sd=true 
 ARCHIVOS DE GESTIÓN 
 https://docs.google.com/spreadsheets/d/1SFc1I8BNZ38yHD0VyB23_--7HcDF53R2/edit#gid=1040618084https://docs.google.com/spreadsheets/d/1SFc1I8BNZ38"&amp;"yHD0VyB23_--7HcDF53R2/edit#gid=1040618084")</f>
        <v>MANUAL DE GESTIÓN
 https://docs.google.com/document/d/1ysAIHpeNiacdPbm5qcjRMT7S-g_OcFAz/edit?usp=sharing&amp;ouid=109108863623103796870&amp;rtpof=true&amp;sd=true 
 MANUAL DE PROCESOS Y PROCEDIMIENTOS DOCUMENTALES
 https://docs.google.com/document/d/18AF7uzJt1kRoU6u1gAZ7bAcHRYAiu7cb/edit?usp=sharing&amp;ouid=109108863623103796870&amp;rtpof=true&amp;sd=true 
 ARCHIVOS DE GESTIÓN 
 https://docs.google.com/spreadsheets/d/1SFc1I8BNZ38yHD0VyB23_--7HcDF53R2/edit#gid=1040618084https://docs.google.com/spreadsheets/d/1SFc1I8BNZ38yHD0VyB23_--7HcDF53R2/edit#gid=1040618084</v>
      </c>
      <c r="K116" s="11">
        <f ca="1">IFERROR(__xludf.DUMMYFUNCTION("""COMPUTED_VALUE"""),44651)</f>
        <v>44651</v>
      </c>
      <c r="L116" s="12">
        <f ca="1">IFERROR(__xludf.DUMMYFUNCTION("""COMPUTED_VALUE"""),0.1)</f>
        <v>0.1</v>
      </c>
      <c r="M116" s="10" t="str">
        <f ca="1">IFERROR(__xludf.DUMMYFUNCTION("""COMPUTED_VALUE"""),"N/A")</f>
        <v>N/A</v>
      </c>
      <c r="N116" s="11">
        <f ca="1">IFERROR(__xludf.DUMMYFUNCTION("""COMPUTED_VALUE"""),44742)</f>
        <v>44742</v>
      </c>
      <c r="O116" s="12">
        <f ca="1">IFERROR(__xludf.DUMMYFUNCTION("""COMPUTED_VALUE"""),0.1)</f>
        <v>0.1</v>
      </c>
      <c r="P116" s="10" t="str">
        <f ca="1">IFERROR(__xludf.DUMMYFUNCTION("""COMPUTED_VALUE"""),"N/A
Se realizan solicitudes por parte de las diferentes oficinas, pero este no se ha hecho efectivo por la falta de espacio que cuente con los requerimientos de espacios.")</f>
        <v>N/A
Se realizan solicitudes por parte de las diferentes oficinas, pero este no se ha hecho efectivo por la falta de espacio que cuente con los requerimientos de espacios.</v>
      </c>
      <c r="Q116" s="11">
        <f ca="1">IFERROR(__xludf.DUMMYFUNCTION("""COMPUTED_VALUE"""),44803)</f>
        <v>44803</v>
      </c>
      <c r="R116" s="12">
        <f ca="1">IFERROR(__xludf.DUMMYFUNCTION("""COMPUTED_VALUE"""),0.2)</f>
        <v>0.2</v>
      </c>
      <c r="S116" s="10" t="str">
        <f ca="1">IFERROR(__xludf.DUMMYFUNCTION("""COMPUTED_VALUE"""),"N/A")</f>
        <v>N/A</v>
      </c>
      <c r="T116" s="11">
        <f ca="1">IFERROR(__xludf.DUMMYFUNCTION("""COMPUTED_VALUE"""),44926)</f>
        <v>44926</v>
      </c>
      <c r="U116" s="10" t="str">
        <f ca="1">IFERROR(__xludf.DUMMYFUNCTION("""COMPUTED_VALUE"""),"Para gestionar la Transferencias físicas y electrónicas es necesario tener localizado e identificado la infraestructura donde se va ha custodiar todas las transferencias, ya que no se puede tomar esta decisión, al NO contar con los recursos para desarroll"&amp;"ar esta actividad.
Esta falencia fue comunicada en la mesa de líderes del dia lunes 28 de noviembre de 2022, en la cual se pretenden enviar escrito al señor Alcalde y solicita cita para presentar la complejidad y las sanciones que esto puede acarrear a"&amp;" corto plazo.
")</f>
        <v xml:space="preserve">Para gestionar la Transferencias físicas y electrónicas es necesario tener localizado e identificado la infraestructura donde se va ha custodiar todas las transferencias, ya que no se puede tomar esta decisión, al NO contar con los recursos para desarrollar esta actividad.
Esta falencia fue comunicada en la mesa de líderes del dia lunes 28 de noviembre de 2022, en la cual se pretenden enviar escrito al señor Alcalde y solicita cita para presentar la complejidad y las sanciones que esto puede acarrear a corto plazo.
</v>
      </c>
    </row>
    <row r="117" spans="1:21" ht="37.5" customHeight="1" x14ac:dyDescent="0.2">
      <c r="A117" s="10" t="str">
        <f ca="1">IFERROR(__xludf.DUMMYFUNCTION("""COMPUTED_VALUE"""),"Información y Comunicación")</f>
        <v>Información y Comunicación</v>
      </c>
      <c r="B117" s="10" t="str">
        <f ca="1">IFERROR(__xludf.DUMMYFUNCTION("""COMPUTED_VALUE"""),"Gestión Documental")</f>
        <v>Gestión Documental</v>
      </c>
      <c r="C117" s="10" t="str">
        <f ca="1">IFERROR(__xludf.DUMMYFUNCTION("""COMPUTED_VALUE"""),"Identificar dentro de su misión institucional aquellas funciones relacionadas con la garantía, protección y salvaguardia de los DDHH y el DIH, teniendo en cuenta el contexto de producción documental – principio de funcionalidad. Incorporarán a series docu"&amp;"mentales que deberán señalar su condición de documento de DDHH y/o DIH, en la Tabla de Retención Documental.  Señalar dentro de su inventario documental, aquellos documentos producidos en ejercicio de sus funciones, relacionadas a Derechos Humanos y el De"&amp;"recho Internacional Humanitario siguiendo los criterios establecidos en el título 11 del presente Acuerdo 004 de 2015.  Elaborar el índice de información clasificada y reservada para señalar en este instrumento de gestión de información Pública, la inform"&amp;"ación relacionada a Derechos Humanos y el Derecho Internacional Humanitario.")</f>
        <v>Identificar dentro de su misión institucional aquellas funciones relacionadas con la garantía, protección y salvaguardia de los DDHH y el DIH, teniendo en cuenta el contexto de producción documental – principio de funcionalidad. Incorporarán a series documentales que deberán señalar su condición de documento de DDHH y/o DIH, en la Tabla de Retención Documental.  Señalar dentro de su inventario documental, aquellos documentos producidos en ejercicio de sus funciones, relacionadas a Derechos Humanos y el Derecho Internacional Humanitario siguiendo los criterios establecidos en el título 11 del presente Acuerdo 004 de 2015.  Elaborar el índice de información clasificada y reservada para señalar en este instrumento de gestión de información Pública, la información relacionada a Derechos Humanos y el Derecho Internacional Humanitario.</v>
      </c>
      <c r="D117" s="10" t="str">
        <f ca="1">IFERROR(__xludf.DUMMYFUNCTION("""COMPUTED_VALUE"""),"Identificación de la información producida por las Secretarías, relacionadas con Derechos Humanos")</f>
        <v>Identificación de la información producida por las Secretarías, relacionadas con Derechos Humanos</v>
      </c>
      <c r="E117" s="10" t="str">
        <f ca="1">IFERROR(__xludf.DUMMYFUNCTION("""COMPUTED_VALUE"""),"Reuniones realizas/ Reuniones programadas")</f>
        <v>Reuniones realizas/ Reuniones programadas</v>
      </c>
      <c r="F117" s="11">
        <f ca="1">IFERROR(__xludf.DUMMYFUNCTION("""COMPUTED_VALUE"""),44653)</f>
        <v>44653</v>
      </c>
      <c r="G117" s="11">
        <f ca="1">IFERROR(__xludf.DUMMYFUNCTION("""COMPUTED_VALUE"""),44926)</f>
        <v>44926</v>
      </c>
      <c r="H117" s="10" t="str">
        <f ca="1">IFERROR(__xludf.DUMMYFUNCTION("""COMPUTED_VALUE"""),"Profesional Especializado Gestión Documental")</f>
        <v>Profesional Especializado Gestión Documental</v>
      </c>
      <c r="I117" s="12">
        <f ca="1">IFERROR(__xludf.DUMMYFUNCTION("""COMPUTED_VALUE"""),0.05)</f>
        <v>0.05</v>
      </c>
      <c r="J117" s="10" t="str">
        <f ca="1">IFERROR(__xludf.DUMMYFUNCTION("""COMPUTED_VALUE"""),"DERECHOS HUMANOS EN LAS SECRETARIAS")</f>
        <v>DERECHOS HUMANOS EN LAS SECRETARIAS</v>
      </c>
      <c r="K117" s="11">
        <f ca="1">IFERROR(__xludf.DUMMYFUNCTION("""COMPUTED_VALUE"""),44651)</f>
        <v>44651</v>
      </c>
      <c r="L117" s="12">
        <f ca="1">IFERROR(__xludf.DUMMYFUNCTION("""COMPUTED_VALUE"""),0.15)</f>
        <v>0.15</v>
      </c>
      <c r="M117" s="14" t="str">
        <f ca="1">IFERROR(__xludf.DUMMYFUNCTION("""COMPUTED_VALUE"""),"https://drive.google.com/drive/folders/1CWeI16MENTkuNd5DBnV9M3-2m-i8nptg?usp=sharing")</f>
        <v>https://drive.google.com/drive/folders/1CWeI16MENTkuNd5DBnV9M3-2m-i8nptg?usp=sharing</v>
      </c>
      <c r="N117" s="11">
        <f ca="1">IFERROR(__xludf.DUMMYFUNCTION("""COMPUTED_VALUE"""),44742)</f>
        <v>44742</v>
      </c>
      <c r="O117" s="12">
        <f ca="1">IFERROR(__xludf.DUMMYFUNCTION("""COMPUTED_VALUE"""),0.2)</f>
        <v>0.2</v>
      </c>
      <c r="P117" s="10" t="str">
        <f ca="1">IFERROR(__xludf.DUMMYFUNCTION("""COMPUTED_VALUE"""),"DERECHOS HUMANOS 2022
Se viene adelantando reuniones con la Oficina de PAz y la Secretaria de Gobierno referente a estos temas por parte de la funcionaria Cielo ORdoñez.")</f>
        <v>DERECHOS HUMANOS 2022
Se viene adelantando reuniones con la Oficina de PAz y la Secretaria de Gobierno referente a estos temas por parte de la funcionaria Cielo ORdoñez.</v>
      </c>
      <c r="Q117" s="11">
        <f ca="1">IFERROR(__xludf.DUMMYFUNCTION("""COMPUTED_VALUE"""),44803)</f>
        <v>44803</v>
      </c>
      <c r="R117" s="12">
        <f ca="1">IFERROR(__xludf.DUMMYFUNCTION("""COMPUTED_VALUE"""),0.25)</f>
        <v>0.25</v>
      </c>
      <c r="S117" s="14" t="str">
        <f ca="1">IFERROR(__xludf.DUMMYFUNCTION("""COMPUTED_VALUE"""),"https://drive.google.com/drive/folders/1_RZIIgnWz0i_7jcudvrF2PVdPz-nh65v?usp=share_link ")</f>
        <v xml:space="preserve">https://drive.google.com/drive/folders/1_RZIIgnWz0i_7jcudvrF2PVdPz-nh65v?usp=share_link </v>
      </c>
      <c r="T117" s="11">
        <f ca="1">IFERROR(__xludf.DUMMYFUNCTION("""COMPUTED_VALUE"""),44926)</f>
        <v>44926</v>
      </c>
      <c r="U117" s="10" t="str">
        <f ca="1">IFERROR(__xludf.DUMMYFUNCTION("""COMPUTED_VALUE"""),"Se solicita asistencia técnica al Archivo General de la Nación, para dar claridad de avances y solicitar orientación con los que se lleva a la fecha trabajado.")</f>
        <v>Se solicita asistencia técnica al Archivo General de la Nación, para dar claridad de avances y solicitar orientación con los que se lleva a la fecha trabajado.</v>
      </c>
    </row>
    <row r="118" spans="1:21" ht="37.5" customHeight="1" x14ac:dyDescent="0.2">
      <c r="A118" s="10" t="str">
        <f ca="1">IFERROR(__xludf.DUMMYFUNCTION("""COMPUTED_VALUE"""),"Información y Comunicación")</f>
        <v>Información y Comunicación</v>
      </c>
      <c r="B118" s="10" t="str">
        <f ca="1">IFERROR(__xludf.DUMMYFUNCTION("""COMPUTED_VALUE"""),"Gestión Documental")</f>
        <v>Gestión Documental</v>
      </c>
      <c r="C118" s="10" t="str">
        <f ca="1">IFERROR(__xludf.DUMMYFUNCTION("""COMPUTED_VALUE"""),"Diagnóstico Integral de Archivo
 Diseño del SIC:
 Elaborar el Plan de Conservación que contega los 6 programas segun lo establecido en la Guía de Elaboración del Sistema Integrado de Conservación - Plan de Conservación https://www.archivogeneral.gov.co/si"&amp;"tes/default/files/Estructura_Web/5_Consulte/Recursos/Publicacionees/V8_Guia_Sistema_Integrado_de_Conservacion.pdf.
 Elaborar el Plan de Preservación Digital, según lo establecido en el acuerdo 06 de 2014 y Fundamentos Digital Preservación Plazo y la Guía "&amp;"para la Elaboración e Implementación del Plan de Preservación Digital. 
 Elaboracion del Cronograma de Implementación 
 Aprobación y concepto técnico por parte del CIGYD.
 Publicación en la pagina web.
 Implementación del SIC.")</f>
        <v>Diagnóstico Integral de Archivo
 Diseño del SIC:
 Elaborar el Plan de Conservación que contega los 6 programas segun lo establecido en la Guía de Elaboración del Sistema Integrado de Conservación - Plan de Conservación https://www.archivogeneral.gov.co/sites/default/files/Estructura_Web/5_Consulte/Recursos/Publicacionees/V8_Guia_Sistema_Integrado_de_Conservacion.pdf.
 Elaborar el Plan de Preservación Digital, según lo establecido en el acuerdo 06 de 2014 y Fundamentos Digital Preservación Plazo y la Guía para la Elaboración e Implementación del Plan de Preservación Digital. 
 Elaboracion del Cronograma de Implementación 
 Aprobación y concepto técnico por parte del CIGYD.
 Publicación en la pagina web.
 Implementación del SIC.</v>
      </c>
      <c r="D118" s="10" t="str">
        <f ca="1">IFERROR(__xludf.DUMMYFUNCTION("""COMPUTED_VALUE"""),"Sistema Integrado de Conservación - Plan de Conservación y Plan de Preservación Digital")</f>
        <v>Sistema Integrado de Conservación - Plan de Conservación y Plan de Preservación Digital</v>
      </c>
      <c r="E118" s="10" t="str">
        <f ca="1">IFERROR(__xludf.DUMMYFUNCTION("""COMPUTED_VALUE"""),"Informe")</f>
        <v>Informe</v>
      </c>
      <c r="F118" s="11">
        <f ca="1">IFERROR(__xludf.DUMMYFUNCTION("""COMPUTED_VALUE"""),44576)</f>
        <v>44576</v>
      </c>
      <c r="G118" s="11">
        <f ca="1">IFERROR(__xludf.DUMMYFUNCTION("""COMPUTED_VALUE"""),44926)</f>
        <v>44926</v>
      </c>
      <c r="H118" s="10" t="str">
        <f ca="1">IFERROR(__xludf.DUMMYFUNCTION("""COMPUTED_VALUE"""),"Profesional Especializado Gestión Documental")</f>
        <v>Profesional Especializado Gestión Documental</v>
      </c>
      <c r="I118" s="12">
        <f ca="1">IFERROR(__xludf.DUMMYFUNCTION("""COMPUTED_VALUE"""),0.1)</f>
        <v>0.1</v>
      </c>
      <c r="J118" s="10" t="str">
        <f ca="1">IFERROR(__xludf.DUMMYFUNCTION("""COMPUTED_VALUE"""),"OFICIO DE SOLICITUD DE NIVEL DE ALMACENAMIENTO Y RESPUESTAS TICS
 SOLICITUD TICS
 https://drive.google.com/drive/folders/1rdkUKSxM-uA00liZIzonYaJldPeVlI-d?usp=sharing 
 https://drive.google.com/drive/folders/1phgWHW3ieuGz17uxlX9c7tfHTu09fsx_?usp=sha"&amp;"ring 
 REGISTRO FOTOGRAFICO AHMP https://drive.google.com/file/d/1zD71Rrd81iJRTsMTUWg98ZWLEPwqpUIZ/view?usp=sharing 
 PROPUESTA ESTRATEGICA DEL PLAN DE PRESERVACIÓN DIGITAL 2021
 https://drive.google.com/file/d/1oVw7xWoTgFquVtiVGHsY7ais_v8yc9cC/"&amp;"view?usp=sharing")</f>
        <v>OFICIO DE SOLICITUD DE NIVEL DE ALMACENAMIENTO Y RESPUESTAS TICS
 SOLICITUD TICS
 https://drive.google.com/drive/folders/1rdkUKSxM-uA00liZIzonYaJldPeVlI-d?usp=sharing 
 https://drive.google.com/drive/folders/1phgWHW3ieuGz17uxlX9c7tfHTu09fsx_?usp=sharing 
 REGISTRO FOTOGRAFICO AHMP https://drive.google.com/file/d/1zD71Rrd81iJRTsMTUWg98ZWLEPwqpUIZ/view?usp=sharing 
 PROPUESTA ESTRATEGICA DEL PLAN DE PRESERVACIÓN DIGITAL 2021
 https://drive.google.com/file/d/1oVw7xWoTgFquVtiVGHsY7ais_v8yc9cC/view?usp=sharing</v>
      </c>
      <c r="K118" s="11">
        <f ca="1">IFERROR(__xludf.DUMMYFUNCTION("""COMPUTED_VALUE"""),44651)</f>
        <v>44651</v>
      </c>
      <c r="L118" s="12">
        <f ca="1">IFERROR(__xludf.DUMMYFUNCTION("""COMPUTED_VALUE"""),0.12)</f>
        <v>0.12</v>
      </c>
      <c r="M118" s="14" t="str">
        <f ca="1">IFERROR(__xludf.DUMMYFUNCTION("""COMPUTED_VALUE"""),"https://drive.google.com/drive/folders/1lqc4si5fUGO6sKTCjL-UBTP5Xe4wcTMl?usp=sharing")</f>
        <v>https://drive.google.com/drive/folders/1lqc4si5fUGO6sKTCjL-UBTP5Xe4wcTMl?usp=sharing</v>
      </c>
      <c r="N118" s="11">
        <f ca="1">IFERROR(__xludf.DUMMYFUNCTION("""COMPUTED_VALUE"""),44742)</f>
        <v>44742</v>
      </c>
      <c r="O118" s="12">
        <f ca="1">IFERROR(__xludf.DUMMYFUNCTION("""COMPUTED_VALUE"""),0.15)</f>
        <v>0.15</v>
      </c>
      <c r="P118" s="10" t="str">
        <f ca="1">IFERROR(__xludf.DUMMYFUNCTION("""COMPUTED_VALUE"""),"Contrato 5580  DEL 26 DE AGOSTO AL 25 DE DICIEMBRE DE 2022 Cesar Augusto Castaño Ovando CC 4514749
ACTA DE INICIO:
https://drive.google.com/file/d/1atEQmcRUfqitlLhTNIdQPyW9Eex-_L7G/view?usp=sharing 
CONTRATO:
https://drive.google.com/file/d/1kcbGl2U8rGqI"&amp;"81MbXeiJfw0b1Va9ZcrY/view?usp=sharing 
""Para el mes de agosto se contrata personal idoneo  como Ingeniero en Sistemas el cual se le ha entregado información para cumplir con avances a este punto.
Contrato 5580  DEL 26 DE AGOSTO AL 25 DE DICIEMBRE DE 202"&amp;"2 Cesar Augusto CAstaño Ovando CC 4514749""")</f>
        <v>Contrato 5580  DEL 26 DE AGOSTO AL 25 DE DICIEMBRE DE 2022 Cesar Augusto Castaño Ovando CC 4514749
ACTA DE INICIO:
https://drive.google.com/file/d/1atEQmcRUfqitlLhTNIdQPyW9Eex-_L7G/view?usp=sharing 
CONTRATO:
https://drive.google.com/file/d/1kcbGl2U8rGqI81MbXeiJfw0b1Va9ZcrY/view?usp=sharing 
"Para el mes de agosto se contrata personal idoneo  como Ingeniero en Sistemas el cual se le ha entregado información para cumplir con avances a este punto.
Contrato 5580  DEL 26 DE AGOSTO AL 25 DE DICIEMBRE DE 2022 Cesar Augusto CAstaño Ovando CC 4514749"</v>
      </c>
      <c r="Q118" s="11">
        <f ca="1">IFERROR(__xludf.DUMMYFUNCTION("""COMPUTED_VALUE"""),44803)</f>
        <v>44803</v>
      </c>
      <c r="R118" s="12">
        <f ca="1">IFERROR(__xludf.DUMMYFUNCTION("""COMPUTED_VALUE"""),0.25)</f>
        <v>0.25</v>
      </c>
      <c r="S118" s="14" t="str">
        <f ca="1">IFERROR(__xludf.DUMMYFUNCTION("""COMPUTED_VALUE"""),"https://drive.google.com/drive/folders/1fKr4DsAuA5TNFDFw04xes09eDYtN37SI?usp=share_link ")</f>
        <v xml:space="preserve">https://drive.google.com/drive/folders/1fKr4DsAuA5TNFDFw04xes09eDYtN37SI?usp=share_link </v>
      </c>
      <c r="T118" s="11">
        <f ca="1">IFERROR(__xludf.DUMMYFUNCTION("""COMPUTED_VALUE"""),44926)</f>
        <v>44926</v>
      </c>
      <c r="U118" s="10" t="str">
        <f ca="1">IFERROR(__xludf.DUMMYFUNCTION("""COMPUTED_VALUE"""),"1. Para permitir orientación de documentos electronicos y el manejo de la conservación digital  se sostiene reuniones con los proveedores de las herramientas que se tienen contratadas con  el Municipio de Pereira: 
Formato Inventario Sistemas de Informac"&amp;"ión
- Reunión SIIF - Modulo Actos Administrativos 18Oct
- Reunión SIIF - Modulo Denuncias y Demandas 20Oct
- Reunión SIIF - Modulo Financiero y Precontractual 24Oct
- Reunión Traslife - SONDEOX - DIGER 13Oct
- Reunión Traslife - SONDEOX - Puntos Vive Digi"&amp;"tal 11Oct
- Reunión Traslife - SONDEOX - Razas Potencialmente Peligrosas 6Oct
- Reunión Traslife - SONDEOX - Registro único de vendedores informales 4Oct
2. Se logra realizar la restauración del acceso a internet desde el Colegio Jose Antonio Galán ubica"&amp;"do en el sector de tribunas. Dejando listo el computador de escritorio, el escaner y almacenamiento para iniciar el proceso de digitalización de documentos.
")</f>
        <v xml:space="preserve">1. Para permitir orientación de documentos electronicos y el manejo de la conservación digital  se sostiene reuniones con los proveedores de las herramientas que se tienen contratadas con  el Municipio de Pereira: 
Formato Inventario Sistemas de Información
- Reunión SIIF - Modulo Actos Administrativos 18Oct
- Reunión SIIF - Modulo Denuncias y Demandas 20Oct
- Reunión SIIF - Modulo Financiero y Precontractual 24Oct
- Reunión Traslife - SONDEOX - DIGER 13Oct
- Reunión Traslife - SONDEOX - Puntos Vive Digital 11Oct
- Reunión Traslife - SONDEOX - Razas Potencialmente Peligrosas 6Oct
- Reunión Traslife - SONDEOX - Registro único de vendedores informales 4Oct
2. Se logra realizar la restauración del acceso a internet desde el Colegio Jose Antonio Galán ubicado en el sector de tribunas. Dejando listo el computador de escritorio, el escaner y almacenamiento para iniciar el proceso de digitalización de documentos.
</v>
      </c>
    </row>
    <row r="119" spans="1:21" ht="37.5" customHeight="1" x14ac:dyDescent="0.2">
      <c r="A119" s="10" t="str">
        <f ca="1">IFERROR(__xludf.DUMMYFUNCTION("""COMPUTED_VALUE"""),"Talento Humano")</f>
        <v>Talento Humano</v>
      </c>
      <c r="B119" s="10" t="str">
        <f ca="1">IFERROR(__xludf.DUMMYFUNCTION("""COMPUTED_VALUE"""),"Gestión Estratégica del Talento Humano - Componente Planeación - Categoría Gestión de la Información")</f>
        <v>Gestión Estratégica del Talento Humano - Componente Planeación - Categoría Gestión de la Información</v>
      </c>
      <c r="C119" s="10" t="str">
        <f ca="1">IFERROR(__xludf.DUMMYFUNCTION("""COMPUTED_VALUE"""),"Gestionar la información en el SIGEP (Servidores Públicos)")</f>
        <v>Gestionar la información en el SIGEP (Servidores Públicos)</v>
      </c>
      <c r="D119" s="10" t="str">
        <f ca="1">IFERROR(__xludf.DUMMYFUNCTION("""COMPUTED_VALUE"""),"SIGEP actualizado (Servidores Públicos)")</f>
        <v>SIGEP actualizado (Servidores Públicos)</v>
      </c>
      <c r="E119" s="10" t="str">
        <f ca="1">IFERROR(__xludf.DUMMYFUNCTION("""COMPUTED_VALUE"""),"80 % hoja de vida servidores públicos actualizadas y publicadas en el SIGEP")</f>
        <v>80 % hoja de vida servidores públicos actualizadas y publicadas en el SIGEP</v>
      </c>
      <c r="F119" s="11">
        <f ca="1">IFERROR(__xludf.DUMMYFUNCTION("""COMPUTED_VALUE"""),44592)</f>
        <v>44592</v>
      </c>
      <c r="G119" s="11">
        <f ca="1">IFERROR(__xludf.DUMMYFUNCTION("""COMPUTED_VALUE"""),44925)</f>
        <v>44925</v>
      </c>
      <c r="H119" s="10" t="str">
        <f ca="1">IFERROR(__xludf.DUMMYFUNCTION("""COMPUTED_VALUE"""),"Director de Talento Humano")</f>
        <v>Director de Talento Humano</v>
      </c>
      <c r="I119" s="12">
        <f ca="1">IFERROR(__xludf.DUMMYFUNCTION("""COMPUTED_VALUE"""),0.66)</f>
        <v>0.66</v>
      </c>
      <c r="J119" s="10" t="str">
        <f ca="1">IFERROR(__xludf.DUMMYFUNCTION("""COMPUTED_VALUE"""),"Para la vigencia evaluada 01 de enero a 31 de marzo a  2022, se cuenta en proceso de  actualización  en el SIGEP ll , En las Hojas de vida de funcionarios, teniendo en cuenta que son ellos los encargados de realizar el proceso de cargue de documentos y qu"&amp;"e desde la Dirección Administrativa de Talento Humano, en el Área de  Hojas de vida se realiza la validación de la información, se están realizando capacitaciones con el fin de realizar el proceso se cuenta con la asesoría de la función publica.  ( LA CLA"&amp;"VE SOLO LA MANEJA PERSONAL AUTORIZADO DE HOJAS DE VIDA. DIRECCIÓN ADMINISTRATIVA DE TALENTO HUMANO) .   EVIDENCIAS CIRCULAR No. 116 CAPACITACIÓN PARA PERSONAS ENCARGADAS DEL ROL JEFE DE CONTRATOS EN SIGEP II  / PORCENTAJE 66%")</f>
        <v>Para la vigencia evaluada 01 de enero a 31 de marzo a  2022, se cuenta en proceso de  actualización  en el SIGEP ll , En las Hojas de vida de funcionarios, teniendo en cuenta que son ellos los encargados de realizar el proceso de cargue de documentos y que desde la Dirección Administrativa de Talento Humano, en el Área de  Hojas de vida se realiza la validación de la información, se están realizando capacitaciones con el fin de realizar el proceso se cuenta con la asesoría de la función publica.  ( LA CLAVE SOLO LA MANEJA PERSONAL AUTORIZADO DE HOJAS DE VIDA. DIRECCIÓN ADMINISTRATIVA DE TALENTO HUMANO) .   EVIDENCIAS CIRCULAR No. 116 CAPACITACIÓN PARA PERSONAS ENCARGADAS DEL ROL JEFE DE CONTRATOS EN SIGEP II  / PORCENTAJE 66%</v>
      </c>
      <c r="K119" s="11">
        <f ca="1">IFERROR(__xludf.DUMMYFUNCTION("""COMPUTED_VALUE"""),44651)</f>
        <v>44651</v>
      </c>
      <c r="L119" s="12">
        <f ca="1">IFERROR(__xludf.DUMMYFUNCTION("""COMPUTED_VALUE"""),0.68)</f>
        <v>0.68</v>
      </c>
      <c r="M119" s="10" t="str">
        <f ca="1">IFERROR(__xludf.DUMMYFUNCTION("""COMPUTED_VALUE"""),"Para la vigencia evaluada 30  de marzo a 30 de junio de 2022, se avanza en proceso de  actualización  en el SIGEP ll , En las Hojas de vida de funcionarios, teniendo en cuenta que son ellos los encargados de realizar el proceso de cargue de documentos y q"&amp;"ue desde la Dirección Administrativa de Talento Humano, en el Área de  Hojas de vida se realiza la validación de la información,  realizando capacitaciones con la asesoría de la función publica.  EVIDENCIAS CIRCULAR No. 154 CAPACITACIÓN PARA PERSONAS ENCA"&amp;"RGADAS DEL ROL JEFE DE CONTRATOS EN SIGEP II  / CIRCULAR No. 182 ELABORACIÓN DECLARACIÓN DE BIENES Y RENTAS DE LA VIGENCIA 2021Y ACTUALIZACIÓN DE LA HOJA DE VIDA SIGEP II.")</f>
        <v>Para la vigencia evaluada 30  de marzo a 30 de junio de 2022, se avanza en proceso de  actualización  en el SIGEP ll , En las Hojas de vida de funcionarios, teniendo en cuenta que son ellos los encargados de realizar el proceso de cargue de documentos y que desde la Dirección Administrativa de Talento Humano, en el Área de  Hojas de vida se realiza la validación de la información,  realizando capacitaciones con la asesoría de la función publica.  EVIDENCIAS CIRCULAR No. 154 CAPACITACIÓN PARA PERSONAS ENCARGADAS DEL ROL JEFE DE CONTRATOS EN SIGEP II  / CIRCULAR No. 182 ELABORACIÓN DECLARACIÓN DE BIENES Y RENTAS DE LA VIGENCIA 2021Y ACTUALIZACIÓN DE LA HOJA DE VIDA SIGEP II.</v>
      </c>
      <c r="N119" s="11"/>
      <c r="O119" s="12">
        <f ca="1">IFERROR(__xludf.DUMMYFUNCTION("""COMPUTED_VALUE"""),0.69)</f>
        <v>0.69</v>
      </c>
      <c r="P119" s="10" t="str">
        <f ca="1">IFERROR(__xludf.DUMMYFUNCTION("""COMPUTED_VALUE"""),"Para la vigencia evaluada 01 de julio a 30 de septimbre de 2022 , se avanza en proceso de  actualización  en el SIGEP ll , En las Hojas de vida de funcionarios, teniendo en cuenta que son ellos los encargados de realizar el proceso de cargue de documentos"&amp;" y que desde la Dirección Administrativa de Talento Humano, en el Área de  Hojas de vida se realiza la validación de la información, de los 518 hojas de vida  de fubcionarios se encuentran 337 aprobadas y 181 pendientes 
en cuanto a 285 hojas de vida de "&amp;" trabajadores of, se encuentran 225 validadas y 60 pendientes")</f>
        <v>Para la vigencia evaluada 01 de julio a 30 de septimbre de 2022 , se avanza en proceso de  actualización  en el SIGEP ll , En las Hojas de vida de funcionarios, teniendo en cuenta que son ellos los encargados de realizar el proceso de cargue de documentos y que desde la Dirección Administrativa de Talento Humano, en el Área de  Hojas de vida se realiza la validación de la información, de los 518 hojas de vida  de fubcionarios se encuentran 337 aprobadas y 181 pendientes 
en cuanto a 285 hojas de vida de  trabajadores of, se encuentran 225 validadas y 60 pendientes</v>
      </c>
      <c r="Q119" s="11">
        <f ca="1">IFERROR(__xludf.DUMMYFUNCTION("""COMPUTED_VALUE"""),44834)</f>
        <v>44834</v>
      </c>
      <c r="R119" s="12">
        <f ca="1">IFERROR(__xludf.DUMMYFUNCTION("""COMPUTED_VALUE"""),0.85)</f>
        <v>0.85</v>
      </c>
      <c r="S119" s="10" t="str">
        <f ca="1">IFERROR(__xludf.DUMMYFUNCTION("""COMPUTED_VALUE"""),"Para la vigencia evaluada 01 de octubre a 30 de diciembre de 2022 , se logro un avance en proceso de actualización en el SIGEP ll , En las Hojas de vida de funcionarios, teniendo en cuenta que son ellos los encargados de realizar el proceso de cargue de d"&amp;"ocumentos y que desde la Dirección Administrativa de Talento Humano, en el Área de Hojas de vida se realizo la validación de la información, de los 518 hojas de vida de funcionarios se encuentran 426 aprobadas y 92 pendientes 
 en cuanto a 285 hojas de vi"&amp;"da de trabajadores of, se encuentran 255 validadas y 30 pendientes, logrando un 85% de hoja de vida servidores públicos actualizadas y publicadas en el SIGEPll")</f>
        <v>Para la vigencia evaluada 01 de octubre a 30 de diciembre de 2022 , se logro un avance en proceso de actualización en el SIGEP ll , En las Hojas de vida de funcionarios, teniendo en cuenta que son ellos los encargados de realizar el proceso de cargue de documentos y que desde la Dirección Administrativa de Talento Humano, en el Área de Hojas de vida se realizo la validación de la información, de los 518 hojas de vida de funcionarios se encuentran 426 aprobadas y 92 pendientes 
 en cuanto a 285 hojas de vida de trabajadores of, se encuentran 255 validadas y 30 pendientes, logrando un 85% de hoja de vida servidores públicos actualizadas y publicadas en el SIGEPll</v>
      </c>
      <c r="T119" s="11">
        <f ca="1">IFERROR(__xludf.DUMMYFUNCTION("""COMPUTED_VALUE"""),44925)</f>
        <v>44925</v>
      </c>
      <c r="U119" s="10"/>
    </row>
    <row r="120" spans="1:21" ht="369.75" x14ac:dyDescent="0.2">
      <c r="A120" s="10" t="str">
        <f ca="1">IFERROR(__xludf.DUMMYFUNCTION("""COMPUTED_VALUE"""),"Talento Humano")</f>
        <v>Talento Humano</v>
      </c>
      <c r="B120" s="10" t="str">
        <f ca="1">IFERROR(__xludf.DUMMYFUNCTION("""COMPUTED_VALUE"""),"Gestión Estratégica del Talento Humano - Componente Planeación - Categoría Gestión de la Información")</f>
        <v>Gestión Estratégica del Talento Humano - Componente Planeación - Categoría Gestión de la Información</v>
      </c>
      <c r="C120" s="10" t="str">
        <f ca="1">IFERROR(__xludf.DUMMYFUNCTION("""COMPUTED_VALUE"""),"Gestionar la información en el SIGEP (Contratistas)")</f>
        <v>Gestionar la información en el SIGEP (Contratistas)</v>
      </c>
      <c r="D120" s="10" t="str">
        <f ca="1">IFERROR(__xludf.DUMMYFUNCTION("""COMPUTED_VALUE"""),"SIGEP actualizado (Contratistas)")</f>
        <v>SIGEP actualizado (Contratistas)</v>
      </c>
      <c r="E120" s="10" t="str">
        <f ca="1">IFERROR(__xludf.DUMMYFUNCTION("""COMPUTED_VALUE"""),"80 % hoja de vida contratistas actualizadas y publicadas en el SIGEP")</f>
        <v>80 % hoja de vida contratistas actualizadas y publicadas en el SIGEP</v>
      </c>
      <c r="F120" s="11">
        <f ca="1">IFERROR(__xludf.DUMMYFUNCTION("""COMPUTED_VALUE"""),44592)</f>
        <v>44592</v>
      </c>
      <c r="G120" s="11">
        <f ca="1">IFERROR(__xludf.DUMMYFUNCTION("""COMPUTED_VALUE"""),44925)</f>
        <v>44925</v>
      </c>
      <c r="H120" s="10" t="str">
        <f ca="1">IFERROR(__xludf.DUMMYFUNCTION("""COMPUTED_VALUE"""),"Director de Talento Humano")</f>
        <v>Director de Talento Humano</v>
      </c>
      <c r="I120" s="12">
        <f ca="1">IFERROR(__xludf.DUMMYFUNCTION("""COMPUTED_VALUE"""),0.66)</f>
        <v>0.66</v>
      </c>
      <c r="J120" s="10" t="str">
        <f ca="1">IFERROR(__xludf.DUMMYFUNCTION("""COMPUTED_VALUE"""),"Para la vigencia evaluada 01 de enero a 31 de marzo a  2022,el proceso se esta realizando, con los funcionarios encargados de validar la información, mediante la  verificación de las hojas de vida  de todos los contratistas que han ingresan a la Entidad, "&amp;"teniendo en cuenta que ellos son los encargados de actualizar  la  información en el SIGEP. EVIDENCIAS CIRCULAR No. 116 CAPACITACIÓN PARA PERSONAS ENCARGADAS DEL ROL JEFE DE CONTRATOS EN SIGEP II ")</f>
        <v xml:space="preserve">Para la vigencia evaluada 01 de enero a 31 de marzo a  2022,el proceso se esta realizando, con los funcionarios encargados de validar la información, mediante la  verificación de las hojas de vida  de todos los contratistas que han ingresan a la Entidad, teniendo en cuenta que ellos son los encargados de actualizar  la  información en el SIGEP. EVIDENCIAS CIRCULAR No. 116 CAPACITACIÓN PARA PERSONAS ENCARGADAS DEL ROL JEFE DE CONTRATOS EN SIGEP II </v>
      </c>
      <c r="K120" s="11">
        <f ca="1">IFERROR(__xludf.DUMMYFUNCTION("""COMPUTED_VALUE"""),44651)</f>
        <v>44651</v>
      </c>
      <c r="L120" s="12">
        <f ca="1">IFERROR(__xludf.DUMMYFUNCTION("""COMPUTED_VALUE"""),0.68)</f>
        <v>0.68</v>
      </c>
      <c r="M120" s="10" t="str">
        <f ca="1">IFERROR(__xludf.DUMMYFUNCTION("""COMPUTED_VALUE"""),"Para la vigencia evaluada 30  de marzo a 30 de junio de 2022,el proceso se realizo, con los funcionarios encargados de validar la información, mediante la  verificación de las hojas de vida  de todos los contratistas que  ingresaron a la Entidad, teniendo"&amp;" en cuenta que ellos son los encargados de actualizar  la  información en el SIGEP. EVIDENCIAS CIRCULAR No. 154 CAPACITACIÓN PARA PERSONAS ENCARGADAS DEL ROL JEFE DE CONTRATOS EN SIGEP II  / CIRCULAR No. 182 ELABORACIÓN DECLARACIÓN DE BIENES Y RENTAS DE L"&amp;"A VIGENCIA 2021Y ACTUALIZACIÓN DE LA HOJA DE VIDA SIGEP II.")</f>
        <v>Para la vigencia evaluada 30  de marzo a 30 de junio de 2022,el proceso se realizo, con los funcionarios encargados de validar la información, mediante la  verificación de las hojas de vida  de todos los contratistas que  ingresaron a la Entidad, teniendo en cuenta que ellos son los encargados de actualizar  la  información en el SIGEP. EVIDENCIAS CIRCULAR No. 154 CAPACITACIÓN PARA PERSONAS ENCARGADAS DEL ROL JEFE DE CONTRATOS EN SIGEP II  / CIRCULAR No. 182 ELABORACIÓN DECLARACIÓN DE BIENES Y RENTAS DE LA VIGENCIA 2021Y ACTUALIZACIÓN DE LA HOJA DE VIDA SIGEP II.</v>
      </c>
      <c r="N120" s="11"/>
      <c r="O120" s="12">
        <f ca="1">IFERROR(__xludf.DUMMYFUNCTION("""COMPUTED_VALUE"""),0.69)</f>
        <v>0.69</v>
      </c>
      <c r="P120" s="10" t="str">
        <f ca="1">IFERROR(__xludf.DUMMYFUNCTION("""COMPUTED_VALUE"""),"Para la vigencia evaluada 01 de julio a 30 de septimbre de 2022 , teniendo en cuenta que  los contratistas son los  encargados de actualizar  la  información en el SIGEPll ,antes de iniciar el contrato, se encuentra en proceso por los encargados de valida"&amp;"r la informacion en cada secretaria de dar de alta a las mismas")</f>
        <v>Para la vigencia evaluada 01 de julio a 30 de septimbre de 2022 , teniendo en cuenta que  los contratistas son los  encargados de actualizar  la  información en el SIGEPll ,antes de iniciar el contrato, se encuentra en proceso por los encargados de validar la informacion en cada secretaria de dar de alta a las mismas</v>
      </c>
      <c r="Q120" s="11">
        <f ca="1">IFERROR(__xludf.DUMMYFUNCTION("""COMPUTED_VALUE"""),44834)</f>
        <v>44834</v>
      </c>
      <c r="R120" s="12">
        <f ca="1">IFERROR(__xludf.DUMMYFUNCTION("""COMPUTED_VALUE"""),0.9)</f>
        <v>0.9</v>
      </c>
      <c r="S120" s="10" t="str">
        <f ca="1">IFERROR(__xludf.DUMMYFUNCTION("""COMPUTED_VALUE"""),"Para la vigencia evaluada 01 de octubre a 30 de diciembre de 2022 , teniendo en cuenta que los contratistas son los encargados de actualizar la información en el SIGEPll ,antes de iniciar el contrato, se realizo el proceso por los encargados de validar la"&amp;" información en cada secretaria de dar de alta a las mismas.")</f>
        <v>Para la vigencia evaluada 01 de octubre a 30 de diciembre de 2022 , teniendo en cuenta que los contratistas son los encargados de actualizar la información en el SIGEPll ,antes de iniciar el contrato, se realizo el proceso por los encargados de validar la información en cada secretaria de dar de alta a las mismas.</v>
      </c>
      <c r="T120" s="11">
        <f ca="1">IFERROR(__xludf.DUMMYFUNCTION("""COMPUTED_VALUE"""),44925)</f>
        <v>44925</v>
      </c>
      <c r="U120" s="10"/>
    </row>
    <row r="121" spans="1:21" ht="409.5" x14ac:dyDescent="0.2">
      <c r="A121" s="10" t="str">
        <f ca="1">IFERROR(__xludf.DUMMYFUNCTION("""COMPUTED_VALUE"""),"Talento Humano")</f>
        <v>Talento Humano</v>
      </c>
      <c r="B121" s="10" t="str">
        <f ca="1">IFERROR(__xludf.DUMMYFUNCTION("""COMPUTED_VALUE"""),"Gestión Estratégica del Talento Humano - Componente Planeación - Categoría Gestión de la Información")</f>
        <v>Gestión Estratégica del Talento Humano - Componente Planeación - Categoría Gestión de la Información</v>
      </c>
      <c r="C121" s="10" t="str">
        <f ca="1">IFERROR(__xludf.DUMMYFUNCTION("""COMPUTED_VALUE"""),"Verificar la información cargada en el SIGEP")</f>
        <v>Verificar la información cargada en el SIGEP</v>
      </c>
      <c r="D121" s="10" t="str">
        <f ca="1">IFERROR(__xludf.DUMMYFUNCTION("""COMPUTED_VALUE"""),"Hojas de vida de servidores y contratistas cargados en SIGEP,verificadas y actualizadas")</f>
        <v>Hojas de vida de servidores y contratistas cargados en SIGEP,verificadas y actualizadas</v>
      </c>
      <c r="E121" s="10" t="str">
        <f ca="1">IFERROR(__xludf.DUMMYFUNCTION("""COMPUTED_VALUE"""),"80 % de información actualizada de servidores y contratistas en el SIGEP")</f>
        <v>80 % de información actualizada de servidores y contratistas en el SIGEP</v>
      </c>
      <c r="F121" s="11">
        <f ca="1">IFERROR(__xludf.DUMMYFUNCTION("""COMPUTED_VALUE"""),44592)</f>
        <v>44592</v>
      </c>
      <c r="G121" s="11">
        <f ca="1">IFERROR(__xludf.DUMMYFUNCTION("""COMPUTED_VALUE"""),44925)</f>
        <v>44925</v>
      </c>
      <c r="H121" s="10" t="str">
        <f ca="1">IFERROR(__xludf.DUMMYFUNCTION("""COMPUTED_VALUE"""),"Director de Talento Humano")</f>
        <v>Director de Talento Humano</v>
      </c>
      <c r="I121" s="12">
        <f ca="1">IFERROR(__xludf.DUMMYFUNCTION("""COMPUTED_VALUE"""),0.66)</f>
        <v>0.66</v>
      </c>
      <c r="J121" s="10" t="str">
        <f ca="1">IFERROR(__xludf.DUMMYFUNCTION("""COMPUTED_VALUE"""),"Para la vigencia evaluada 01 de enero a 31 de marzo a  2022, se esta realizando la  verificación y actualización de los empleos y empleados cargados en SIGEP ll / EVIDENCIAS:CIRCULAR No. 114 : Migración información de SIGEP I a SIGEP II Funcionarios y Tra"&amp;"bajadores Oficiales")</f>
        <v>Para la vigencia evaluada 01 de enero a 31 de marzo a  2022, se esta realizando la  verificación y actualización de los empleos y empleados cargados en SIGEP ll / EVIDENCIAS:CIRCULAR No. 114 : Migración información de SIGEP I a SIGEP II Funcionarios y Trabajadores Oficiales</v>
      </c>
      <c r="K121" s="11">
        <f ca="1">IFERROR(__xludf.DUMMYFUNCTION("""COMPUTED_VALUE"""),44651)</f>
        <v>44651</v>
      </c>
      <c r="L121" s="12">
        <f ca="1">IFERROR(__xludf.DUMMYFUNCTION("""COMPUTED_VALUE"""),0.68)</f>
        <v>0.68</v>
      </c>
      <c r="M121" s="10" t="str">
        <f ca="1">IFERROR(__xludf.DUMMYFUNCTION("""COMPUTED_VALUE"""),"Para la vigencia evaluada 30 de marzo a 30 de junio de 2022, se  realizo la  verificación y actualización de los empleos y empleados cargados en SIGEP ll / EVIDENCIAS: Migración información a SIGEP II Funcionarios y Trabajadores Oficiales, evidencia sopor"&amp;"tadas en el portal de SIGEP ll ")</f>
        <v xml:space="preserve">Para la vigencia evaluada 30 de marzo a 30 de junio de 2022, se  realizo la  verificación y actualización de los empleos y empleados cargados en SIGEP ll / EVIDENCIAS: Migración información a SIGEP II Funcionarios y Trabajadores Oficiales, evidencia soportadas en el portal de SIGEP ll </v>
      </c>
      <c r="N121" s="11"/>
      <c r="O121" s="12">
        <f ca="1">IFERROR(__xludf.DUMMYFUNCTION("""COMPUTED_VALUE"""),0.69)</f>
        <v>0.69</v>
      </c>
      <c r="P121" s="10" t="str">
        <f ca="1">IFERROR(__xludf.DUMMYFUNCTION("""COMPUTED_VALUE"""),"Para la vigencia evaluada 01 de julio a 30 de septimbre de 2022 , se  realizo la  verificación y actualización de los empleos y contratistas cargados en SIGEP ll / EVIDENCIAS: Migración información a SIGEP II Funcionarios y Trabajadores Oficiales, evidenc"&amp;"ia soportadas en el portal de SIGEP ll , cada secretaria tiene un funcionario que desempeña este roll ")</f>
        <v xml:space="preserve">Para la vigencia evaluada 01 de julio a 30 de septimbre de 2022 , se  realizo la  verificación y actualización de los empleos y contratistas cargados en SIGEP ll / EVIDENCIAS: Migración información a SIGEP II Funcionarios y Trabajadores Oficiales, evidencia soportadas en el portal de SIGEP ll , cada secretaria tiene un funcionario que desempeña este roll </v>
      </c>
      <c r="Q121" s="11">
        <f ca="1">IFERROR(__xludf.DUMMYFUNCTION("""COMPUTED_VALUE"""),44834)</f>
        <v>44834</v>
      </c>
      <c r="R121" s="12">
        <f ca="1">IFERROR(__xludf.DUMMYFUNCTION("""COMPUTED_VALUE"""),0.9)</f>
        <v>0.9</v>
      </c>
      <c r="S121" s="10" t="str">
        <f ca="1">IFERROR(__xludf.DUMMYFUNCTION("""COMPUTED_VALUE"""),"Para la vigencia evaluada 01 de octubre a 30 de diciembre de 2022 , se realizo la verificación y actualización de los empleos y contratistas cargados en SIGEP ll / EVIDENCIAS: Migración información a SIGEP II Funcionarios y Trabajadores Oficiales, evidenc"&amp;"ia soportadas en el portal de SIGEP ll , para funcionarios las evidencias reposan en la técnico administrativa de Historias laboral de la Dirección Administrativa de Talento Humano, para contratistas la información reposa en las oficinas de contratación y"&amp;" cada secretaria tiene un funcionario que desempeña este roll ,")</f>
        <v>Para la vigencia evaluada 01 de octubre a 30 de diciembre de 2022 , se realizo la verificación y actualización de los empleos y contratistas cargados en SIGEP ll / EVIDENCIAS: Migración información a SIGEP II Funcionarios y Trabajadores Oficiales, evidencia soportadas en el portal de SIGEP ll , para funcionarios las evidencias reposan en la técnico administrativa de Historias laboral de la Dirección Administrativa de Talento Humano, para contratistas la información reposa en las oficinas de contratación y cada secretaria tiene un funcionario que desempeña este roll ,</v>
      </c>
      <c r="T121" s="11">
        <f ca="1">IFERROR(__xludf.DUMMYFUNCTION("""COMPUTED_VALUE"""),44925)</f>
        <v>44925</v>
      </c>
      <c r="U121" s="10"/>
    </row>
    <row r="122" spans="1:21" ht="267.75" x14ac:dyDescent="0.2">
      <c r="A122" s="10" t="str">
        <f ca="1">IFERROR(__xludf.DUMMYFUNCTION("""COMPUTED_VALUE"""),"Talento Humano")</f>
        <v>Talento Humano</v>
      </c>
      <c r="B122" s="10" t="str">
        <f ca="1">IFERROR(__xludf.DUMMYFUNCTION("""COMPUTED_VALUE"""),"Gestión Estratégica del Talento Humano - Componente Planeación - Categoría Gestión de la Información")</f>
        <v>Gestión Estratégica del Talento Humano - Componente Planeación - Categoría Gestión de la Información</v>
      </c>
      <c r="C122" s="10" t="str">
        <f ca="1">IFERROR(__xludf.DUMMYFUNCTION("""COMPUTED_VALUE"""),"Monitoreo y seguimiento del SIGEP")</f>
        <v>Monitoreo y seguimiento del SIGEP</v>
      </c>
      <c r="D122" s="10" t="str">
        <f ca="1">IFERROR(__xludf.DUMMYFUNCTION("""COMPUTED_VALUE"""),"90% del monitoreo y seguimiento del SIGEP de vinculación de los servidores públicos y la gestión de contratistas en la entidad")</f>
        <v>90% del monitoreo y seguimiento del SIGEP de vinculación de los servidores públicos y la gestión de contratistas en la entidad</v>
      </c>
      <c r="E122" s="10" t="str">
        <f ca="1">IFERROR(__xludf.DUMMYFUNCTION("""COMPUTED_VALUE"""),"80 % de hojas de vida de servidores públicos actualizadas y publicadas en el SIGEP")</f>
        <v>80 % de hojas de vida de servidores públicos actualizadas y publicadas en el SIGEP</v>
      </c>
      <c r="F122" s="11">
        <f ca="1">IFERROR(__xludf.DUMMYFUNCTION("""COMPUTED_VALUE"""),44592)</f>
        <v>44592</v>
      </c>
      <c r="G122" s="11">
        <f ca="1">IFERROR(__xludf.DUMMYFUNCTION("""COMPUTED_VALUE"""),44925)</f>
        <v>44925</v>
      </c>
      <c r="H122" s="10" t="str">
        <f ca="1">IFERROR(__xludf.DUMMYFUNCTION("""COMPUTED_VALUE"""),"Director de Talento Humano")</f>
        <v>Director de Talento Humano</v>
      </c>
      <c r="I122" s="12">
        <f ca="1">IFERROR(__xludf.DUMMYFUNCTION("""COMPUTED_VALUE"""),0.66)</f>
        <v>0.66</v>
      </c>
      <c r="J122" s="10" t="str">
        <f ca="1">IFERROR(__xludf.DUMMYFUNCTION("""COMPUTED_VALUE"""),"Para la vigencia evaluada 01 de enero a 31 de marzo a  2022, se realizo seguimiento del SIGEP ll, los resultados, se encuentran en  control interno encargados del proceso ")</f>
        <v xml:space="preserve">Para la vigencia evaluada 01 de enero a 31 de marzo a  2022, se realizo seguimiento del SIGEP ll, los resultados, se encuentran en  control interno encargados del proceso </v>
      </c>
      <c r="K122" s="11">
        <f ca="1">IFERROR(__xludf.DUMMYFUNCTION("""COMPUTED_VALUE"""),44651)</f>
        <v>44651</v>
      </c>
      <c r="L122" s="12">
        <f ca="1">IFERROR(__xludf.DUMMYFUNCTION("""COMPUTED_VALUE"""),0.68)</f>
        <v>0.68</v>
      </c>
      <c r="M122" s="10" t="str">
        <f ca="1">IFERROR(__xludf.DUMMYFUNCTION("""COMPUTED_VALUE"""),"Para la vigencia evaluada 30 de marzo a 30 de junio de 2022, se  realizo seguimiento del SIGEP ll, los resultados, se encuentran en  control interno encargados del proceso ")</f>
        <v xml:space="preserve">Para la vigencia evaluada 30 de marzo a 30 de junio de 2022, se  realizo seguimiento del SIGEP ll, los resultados, se encuentran en  control interno encargados del proceso </v>
      </c>
      <c r="N122" s="11"/>
      <c r="O122" s="12">
        <f ca="1">IFERROR(__xludf.DUMMYFUNCTION("""COMPUTED_VALUE"""),0.69)</f>
        <v>0.69</v>
      </c>
      <c r="P122" s="10" t="str">
        <f ca="1">IFERROR(__xludf.DUMMYFUNCTION("""COMPUTED_VALUE"""),"Para la vigencia evaluada 01 de julio a 30 de septimbre de 2022 , se  realizo seguimiento del SIGEP ll, los resultados, se encuentran en  control interno encargados del proceso ")</f>
        <v xml:space="preserve">Para la vigencia evaluada 01 de julio a 30 de septimbre de 2022 , se  realizo seguimiento del SIGEP ll, los resultados, se encuentran en  control interno encargados del proceso </v>
      </c>
      <c r="Q122" s="11">
        <f ca="1">IFERROR(__xludf.DUMMYFUNCTION("""COMPUTED_VALUE"""),44834)</f>
        <v>44834</v>
      </c>
      <c r="R122" s="12">
        <f ca="1">IFERROR(__xludf.DUMMYFUNCTION("""COMPUTED_VALUE"""),0.9)</f>
        <v>0.9</v>
      </c>
      <c r="S122" s="10" t="str">
        <f ca="1">IFERROR(__xludf.DUMMYFUNCTION("""COMPUTED_VALUE"""),"Para la vigencia evaluada 01 de octubre a 30 de diciembre de 2022 , se realizo seguimiento del SIGEP ll, los resultados, se encuentran en control interno encargados del proceso , y en el aplicativo SIGEPll")</f>
        <v>Para la vigencia evaluada 01 de octubre a 30 de diciembre de 2022 , se realizo seguimiento del SIGEP ll, los resultados, se encuentran en control interno encargados del proceso , y en el aplicativo SIGEPll</v>
      </c>
      <c r="T122" s="11">
        <f ca="1">IFERROR(__xludf.DUMMYFUNCTION("""COMPUTED_VALUE"""),44925)</f>
        <v>44925</v>
      </c>
      <c r="U122" s="10"/>
    </row>
    <row r="123" spans="1:21" ht="409.5" x14ac:dyDescent="0.2">
      <c r="A123" s="10" t="str">
        <f ca="1">IFERROR(__xludf.DUMMYFUNCTION("""COMPUTED_VALUE"""),"Talento Humano")</f>
        <v>Talento Humano</v>
      </c>
      <c r="B123" s="10" t="str">
        <f ca="1">IFERROR(__xludf.DUMMYFUNCTION("""COMPUTED_VALUE"""),"Gestión Estratégica del Talento Humano - Componente Planeación - Categoría Gestión de la Información")</f>
        <v>Gestión Estratégica del Talento Humano - Componente Planeación - Categoría Gestión de la Información</v>
      </c>
      <c r="C123" s="10" t="str">
        <f ca="1">IFERROR(__xludf.DUMMYFUNCTION("""COMPUTED_VALUE"""),"Plan de bienestar e incentivos")</f>
        <v>Plan de bienestar e incentivos</v>
      </c>
      <c r="D123" s="10" t="str">
        <f ca="1">IFERROR(__xludf.DUMMYFUNCTION("""COMPUTED_VALUE"""),"Plan de Bienestar e Incentivos que se ejecuta de acuerdo con lo planificado")</f>
        <v>Plan de Bienestar e Incentivos que se ejecuta de acuerdo con lo planificado</v>
      </c>
      <c r="E123" s="10" t="str">
        <f ca="1">IFERROR(__xludf.DUMMYFUNCTION("""COMPUTED_VALUE"""),"# de actividades de Bienestar ejecutadas # de actividades de Bienestar programadas")</f>
        <v># de actividades de Bienestar ejecutadas # de actividades de Bienestar programadas</v>
      </c>
      <c r="F123" s="11">
        <f ca="1">IFERROR(__xludf.DUMMYFUNCTION("""COMPUTED_VALUE"""),44592)</f>
        <v>44592</v>
      </c>
      <c r="G123" s="11">
        <f ca="1">IFERROR(__xludf.DUMMYFUNCTION("""COMPUTED_VALUE"""),44925)</f>
        <v>44925</v>
      </c>
      <c r="H123" s="10" t="str">
        <f ca="1">IFERROR(__xludf.DUMMYFUNCTION("""COMPUTED_VALUE"""),"Director de Talento Humano")</f>
        <v>Director de Talento Humano</v>
      </c>
      <c r="I123" s="12">
        <f ca="1">IFERROR(__xludf.DUMMYFUNCTION("""COMPUTED_VALUE"""),0.7)</f>
        <v>0.7</v>
      </c>
      <c r="J123" s="10" t="str">
        <f ca="1">IFERROR(__xludf.DUMMYFUNCTION("""COMPUTED_VALUE"""),"Para la vigencia evaluada 01 de enero a 31 de marzo a  2022, se realizo la Adopción de los Planes Institucionales de Capacitación, Incentivos y Bienestar Laboral. Mediante  oficio No. 6715 14 de febrero de 2022, se socializo a los funcionarios y se realiz"&amp;"o el cronograma de actividades, para el primer trimestre se programo la rumbo terapia la cual se esta realizando y se socializo mediante oficio SAIA No. 3799 28 de enero de 2022
")</f>
        <v xml:space="preserve">Para la vigencia evaluada 01 de enero a 31 de marzo a  2022, se realizo la Adopción de los Planes Institucionales de Capacitación, Incentivos y Bienestar Laboral. Mediante  oficio No. 6715 14 de febrero de 2022, se socializo a los funcionarios y se realizo el cronograma de actividades, para el primer trimestre se programo la rumbo terapia la cual se esta realizando y se socializo mediante oficio SAIA No. 3799 28 de enero de 2022
</v>
      </c>
      <c r="K123" s="11">
        <f ca="1">IFERROR(__xludf.DUMMYFUNCTION("""COMPUTED_VALUE"""),44651)</f>
        <v>44651</v>
      </c>
      <c r="L123" s="12">
        <f ca="1">IFERROR(__xludf.DUMMYFUNCTION("""COMPUTED_VALUE"""),0.85)</f>
        <v>0.85</v>
      </c>
      <c r="M123" s="10" t="str">
        <f ca="1">IFERROR(__xludf.DUMMYFUNCTION("""COMPUTED_VALUE"""),"Para la vigencia evaluada 30 de marzo a 30 de junio de 2022, dando cumplimiento al cronograma de actividades del Plan de Bienestar e Incentivos y Bienestar Laboral. Se realizaron las siguientes actividades, CAPACITACIONES PAGAS:
RESOLUCION No. 1087 DE 09 "&amp;"FEBRERO 2022. INFORMACIÓN EXÓGENA PARA LA DIAN EN MEDIOS ELECTRÓNICOS 2022.
RESOLUCION No. 1179 DE 11 FEBRERO 2022. PLANEACIÓN Y GESTIÓN DEL TALENTO HUMANO
RESOLUCION No. 2627 DE 25 ABRIL 2022. ACOSO LABORAL, SEXUAL Y ROLES DEL COMITÈ DE CONVIVENCIA
INCEN"&amp;"TIVOS ECONÓMICOS PARA ESTUDIO:
RESOLUCION No. 0505 DE 20 ENERO 2022
RESOLUCION No. 0622 DE 27 ENERO 2022
RESOLUCION No. 1167 DE 10 FEBRERO 2022
RESOLUCION No. 1169 DE 10 FEBRERO 2022
RESOLUCION No. 1168 DE 10 FEBRERO 2022
RESOLUCION No. 1170 DE 10 FEBRERO"&amp;" 2022
RESOLUCION No. 1340 DE 22 FEBRERO 2022
RESOLUCION No. 1341 DE 22 FEBRERO 2022
RESOLUCION No. 1342 DE 22 FEBRERO 2022
RESOLUCION No. 1348 DE 22 FEBRERO 2022
RESOLUCION No. 1592 DE 07 MARZO 2022
RESOLUCION No. 1629 DE 08 MARZO 2022
RESOLUCION No. 1647"&amp;" DE 09 MARZO 2022
RESOLUCION No. 1646 DE 09 MARZO 2022
RESOLUCION No. 1746 DE 11 MARZO 2022
RESOLUCION No. 1826 DE 14 MARZO 2022
RESOLUCION No. 1950 DE 16 MARZO 2022
RESOLUCION No. 2082 DE 25 MARZO 2022
RESOLUCION No. 2713 DE 27 ABRIL 2022
RESOLUCION No. "&amp;"2860 DE 04 MAYO 2022
RESOLUCION No. 3261 DE 16 MAYO 2022
RESOLUCION No. 3971 DE 06 JUNIO 2022")</f>
        <v>Para la vigencia evaluada 30 de marzo a 30 de junio de 2022, dando cumplimiento al cronograma de actividades del Plan de Bienestar e Incentivos y Bienestar Laboral. Se realizaron las siguientes actividades, CAPACITACIONES PAGAS:
RESOLUCION No. 1087 DE 09 FEBRERO 2022. INFORMACIÓN EXÓGENA PARA LA DIAN EN MEDIOS ELECTRÓNICOS 2022.
RESOLUCION No. 1179 DE 11 FEBRERO 2022. PLANEACIÓN Y GESTIÓN DEL TALENTO HUMANO
RESOLUCION No. 2627 DE 25 ABRIL 2022. ACOSO LABORAL, SEXUAL Y ROLES DEL COMITÈ DE CONVIVENCIA
INCENTIVOS ECONÓMICOS PARA ESTUDIO:
RESOLUCION No. 0505 DE 20 ENERO 2022
RESOLUCION No. 0622 DE 27 ENERO 2022
RESOLUCION No. 1167 DE 10 FEBRERO 2022
RESOLUCION No. 1169 DE 10 FEBRERO 2022
RESOLUCION No. 1168 DE 10 FEBRERO 2022
RESOLUCION No. 1170 DE 10 FEBRERO 2022
RESOLUCION No. 1340 DE 22 FEBRERO 2022
RESOLUCION No. 1341 DE 22 FEBRERO 2022
RESOLUCION No. 1342 DE 22 FEBRERO 2022
RESOLUCION No. 1348 DE 22 FEBRERO 2022
RESOLUCION No. 1592 DE 07 MARZO 2022
RESOLUCION No. 1629 DE 08 MARZO 2022
RESOLUCION No. 1647 DE 09 MARZO 2022
RESOLUCION No. 1646 DE 09 MARZO 2022
RESOLUCION No. 1746 DE 11 MARZO 2022
RESOLUCION No. 1826 DE 14 MARZO 2022
RESOLUCION No. 1950 DE 16 MARZO 2022
RESOLUCION No. 2082 DE 25 MARZO 2022
RESOLUCION No. 2713 DE 27 ABRIL 2022
RESOLUCION No. 2860 DE 04 MAYO 2022
RESOLUCION No. 3261 DE 16 MAYO 2022
RESOLUCION No. 3971 DE 06 JUNIO 2022</v>
      </c>
      <c r="N123" s="11"/>
      <c r="O123" s="12">
        <f ca="1">IFERROR(__xludf.DUMMYFUNCTION("""COMPUTED_VALUE"""),0.9)</f>
        <v>0.9</v>
      </c>
      <c r="P123" s="10" t="str">
        <f ca="1">IFERROR(__xludf.DUMMYFUNCTION("""COMPUTED_VALUE"""),"Para la vigencia evaluada 01 de julio a 30 de septimbre de 2022, dando cumplimiento al cronograma de actividades del Plan de Bienestar e Incentivos y Bienestar Laboral. Se realizaron las 4 actividades que se tenian programada, que correponden a las siguie"&amp;"ntes actividades, (1 ) Rumboterapia, (2  )piezas publicitarias, cumpleaños, (3) incentivos de día de la familia,( 4) incentivos por  estudio, ecidencias  el plan de accion y en el correo institucional del PIC.                                              "&amp;"                                                         https://docs.google.com/spreadsheets/d/1-QmzlxX5W7A_opTbZaWGd7jU9by2sTgyhmtt2bCJYYQ/edit?invite=CKKz8M4F#gid=0")</f>
        <v>Para la vigencia evaluada 01 de julio a 30 de septimbre de 2022, dando cumplimiento al cronograma de actividades del Plan de Bienestar e Incentivos y Bienestar Laboral. Se realizaron las 4 actividades que se tenian programada, que correponden a las siguientes actividades, (1 ) Rumboterapia, (2  )piezas publicitarias, cumpleaños, (3) incentivos de día de la familia,( 4) incentivos por  estudio, ecidencias  el plan de accion y en el correo institucional del PIC.                                                                                                       https://docs.google.com/spreadsheets/d/1-QmzlxX5W7A_opTbZaWGd7jU9by2sTgyhmtt2bCJYYQ/edit?invite=CKKz8M4F#gid=0</v>
      </c>
      <c r="Q123" s="11">
        <f ca="1">IFERROR(__xludf.DUMMYFUNCTION("""COMPUTED_VALUE"""),44834)</f>
        <v>44834</v>
      </c>
      <c r="R123" s="12">
        <f ca="1">IFERROR(__xludf.DUMMYFUNCTION("""COMPUTED_VALUE"""),1)</f>
        <v>1</v>
      </c>
      <c r="S123" s="10" t="str">
        <f ca="1">IFERROR(__xludf.DUMMYFUNCTION("""COMPUTED_VALUE"""),"Para la vigencia evaluada 01 de octubre a 30 de diciembre de 2022 , dando cumplimiento al cronograma de actividades del Plan de Bienestar e Incentivos y Bienestar Laboral. Se realizaron las 4 actividades que se tenían programada para el trimestre, que cor"&amp;"responden a las siguientes actividades, (1 ) Rumboterapia, (2 )piezas publicitarias para los funcionarios que cumpleaños en octubre, noviembre, diciembre, (3) incentivos de día de la familia libre remunerado para los funcionarios que solicitaron ,( 4) inc"&amp;"entivos por estudio, evidencias el plan de acción y en el correo institucional del PIC. https://docs.google.com/spreadsheets/d/1-QmzlxX5W7A_opTbZaWGd7jU9by2sTgyhmtt2bCJYYQ/edit?invite=CKKz8M4F#gid=0  para el tema de incentivos • Se han otorgado el 100% de"&amp;" los incentivos económicos para estudio solicitados. En la vigencia 2022 al cierre de este reporte se han autorizado a 56 funcionarios, que representan una inversión total de $109.371.517")</f>
        <v>Para la vigencia evaluada 01 de octubre a 30 de diciembre de 2022 , dando cumplimiento al cronograma de actividades del Plan de Bienestar e Incentivos y Bienestar Laboral. Se realizaron las 4 actividades que se tenían programada para el trimestre, que corresponden a las siguientes actividades, (1 ) Rumboterapia, (2 )piezas publicitarias para los funcionarios que cumpleaños en octubre, noviembre, diciembre, (3) incentivos de día de la familia libre remunerado para los funcionarios que solicitaron ,( 4) incentivos por estudio, evidencias el plan de acción y en el correo institucional del PIC. https://docs.google.com/spreadsheets/d/1-QmzlxX5W7A_opTbZaWGd7jU9by2sTgyhmtt2bCJYYQ/edit?invite=CKKz8M4F#gid=0  para el tema de incentivos • Se han otorgado el 100% de los incentivos económicos para estudio solicitados. En la vigencia 2022 al cierre de este reporte se han autorizado a 56 funcionarios, que representan una inversión total de $109.371.517</v>
      </c>
      <c r="T123" s="11">
        <f ca="1">IFERROR(__xludf.DUMMYFUNCTION("""COMPUTED_VALUE"""),44925)</f>
        <v>44925</v>
      </c>
      <c r="U123" s="10"/>
    </row>
    <row r="124" spans="1:21" ht="409.5" x14ac:dyDescent="0.2">
      <c r="A124" s="10" t="str">
        <f ca="1">IFERROR(__xludf.DUMMYFUNCTION("""COMPUTED_VALUE"""),"Talento Humano")</f>
        <v>Talento Humano</v>
      </c>
      <c r="B124" s="10" t="str">
        <f ca="1">IFERROR(__xludf.DUMMYFUNCTION("""COMPUTED_VALUE"""),"Gestión Estratégica del Talento Humano - Componente Planeación - Categoría Normativo y del Entorno")</f>
        <v>Gestión Estratégica del Talento Humano - Componente Planeación - Categoría Normativo y del Entorno</v>
      </c>
      <c r="C124" s="10" t="str">
        <f ca="1">IFERROR(__xludf.DUMMYFUNCTION("""COMPUTED_VALUE"""),"Evaluación de desempeño")</f>
        <v>Evaluación de desempeño</v>
      </c>
      <c r="D124" s="10" t="str">
        <f ca="1">IFERROR(__xludf.DUMMYFUNCTION("""COMPUTED_VALUE"""),"Proceso de Evaluación del Desempeño, ejecutado de acuerdo con las fases planificadas")</f>
        <v>Proceso de Evaluación del Desempeño, ejecutado de acuerdo con las fases planificadas</v>
      </c>
      <c r="E124" s="10" t="str">
        <f ca="1">IFERROR(__xludf.DUMMYFUNCTION("""COMPUTED_VALUE"""),"# de Evaluación del Desempeño realizadas, # de Evaluación del Desempeño planificadas")</f>
        <v># de Evaluación del Desempeño realizadas, # de Evaluación del Desempeño planificadas</v>
      </c>
      <c r="F124" s="11">
        <f ca="1">IFERROR(__xludf.DUMMYFUNCTION("""COMPUTED_VALUE"""),44592)</f>
        <v>44592</v>
      </c>
      <c r="G124" s="11">
        <f ca="1">IFERROR(__xludf.DUMMYFUNCTION("""COMPUTED_VALUE"""),44925)</f>
        <v>44925</v>
      </c>
      <c r="H124" s="10" t="str">
        <f ca="1">IFERROR(__xludf.DUMMYFUNCTION("""COMPUTED_VALUE"""),"Director de Talento Humano")</f>
        <v>Director de Talento Humano</v>
      </c>
      <c r="I124" s="12">
        <f ca="1">IFERROR(__xludf.DUMMYFUNCTION("""COMPUTED_VALUE"""),0.7)</f>
        <v>0.7</v>
      </c>
      <c r="J124" s="10" t="str">
        <f ca="1">IFERROR(__xludf.DUMMYFUNCTION("""COMPUTED_VALUE"""),"Para la vigencia evaluada 01 de enero a 31 de marzo a  2022, El plan estratégico de talento humano incluye el proceso de Evaluación del Desempeño, y se ejecuta de acuerdo con las fases planificada EVIDENCIAS.CIRCULAR No. 43 02 de febrero de 2022/CIRCULAR "&amp;"No. 47 03 de febrero de 2022/CIRCULAR No. 65 16 de febrero de 2022")</f>
        <v>Para la vigencia evaluada 01 de enero a 31 de marzo a  2022, El plan estratégico de talento humano incluye el proceso de Evaluación del Desempeño, y se ejecuta de acuerdo con las fases planificada EVIDENCIAS.CIRCULAR No. 43 02 de febrero de 2022/CIRCULAR No. 47 03 de febrero de 2022/CIRCULAR No. 65 16 de febrero de 2022</v>
      </c>
      <c r="K124" s="11">
        <f ca="1">IFERROR(__xludf.DUMMYFUNCTION("""COMPUTED_VALUE"""),44651)</f>
        <v>44651</v>
      </c>
      <c r="L124" s="12">
        <f ca="1">IFERROR(__xludf.DUMMYFUNCTION("""COMPUTED_VALUE"""),0.75)</f>
        <v>0.75</v>
      </c>
      <c r="M124" s="10" t="str">
        <f ca="1">IFERROR(__xludf.DUMMYFUNCTION("""COMPUTED_VALUE"""),"Para la vigencia evaluada 30 de marzo a 30 de junio de 2022, mediante Comunicación Interna N° 23220 del 05 de mayo de 2022. el cumplimiento en la entrega del seguimiento correspondiente a este trimestre
")</f>
        <v xml:space="preserve">Para la vigencia evaluada 30 de marzo a 30 de junio de 2022, mediante Comunicación Interna N° 23220 del 05 de mayo de 2022. el cumplimiento en la entrega del seguimiento correspondiente a este trimestre
</v>
      </c>
      <c r="N124" s="11"/>
      <c r="O124" s="12">
        <f ca="1">IFERROR(__xludf.DUMMYFUNCTION("""COMPUTED_VALUE"""),0.95)</f>
        <v>0.95</v>
      </c>
      <c r="P124" s="10" t="str">
        <f ca="1">IFERROR(__xludf.DUMMYFUNCTION("""COMPUTED_VALUE"""),"Para la vigencia evaluada 01 de julio a 30 de septimbre de 2022, Se  instruyó y se  solicitó  la evaluación del primer semestre de la vigencia 2022. De 309 personas  con derechos de carrera, para el primer semestre comprendido entre el 1°  de febrero y el"&amp;" 31 de julio de 2022, se debían  realizar a más tardar el día 22 DE AGOSTO DE LA PRESENTE VIGENCIA, de los cuales  fueron evaluados 294 dentro de ellos 7 corresponden a periodo de prueba y 2 tienen situaciones reportadas ante la CNSC. El porcentaje evalua"&amp;"do corresponde al 95% de los servidores públicos de carrera administrativa.")</f>
        <v>Para la vigencia evaluada 01 de julio a 30 de septimbre de 2022, Se  instruyó y se  solicitó  la evaluación del primer semestre de la vigencia 2022. De 309 personas  con derechos de carrera, para el primer semestre comprendido entre el 1°  de febrero y el 31 de julio de 2022, se debían  realizar a más tardar el día 22 DE AGOSTO DE LA PRESENTE VIGENCIA, de los cuales  fueron evaluados 294 dentro de ellos 7 corresponden a periodo de prueba y 2 tienen situaciones reportadas ante la CNSC. El porcentaje evaluado corresponde al 95% de los servidores públicos de carrera administrativa.</v>
      </c>
      <c r="Q124" s="11">
        <f ca="1">IFERROR(__xludf.DUMMYFUNCTION("""COMPUTED_VALUE"""),44834)</f>
        <v>44834</v>
      </c>
      <c r="R124" s="12">
        <f ca="1">IFERROR(__xludf.DUMMYFUNCTION("""COMPUTED_VALUE"""),0.95)</f>
        <v>0.95</v>
      </c>
      <c r="S124" s="10" t="str">
        <f ca="1">IFERROR(__xludf.DUMMYFUNCTION("""COMPUTED_VALUE"""),"Para la vigencia evaluada 01 de octubre a 30 de diciembre de 2022 , Evaluación del Desempeño, parala vigencia 2022, se ejecuto de acuerdo con las fases planificadas, reposa en las Hojas de vida de los funcionarios evaluados 294 dentro de ellos 7 correspon"&amp;"den a periodo de prueba y 2 tienen situaciones reportadas ante la CNSC. El porcentaje evaluado corresponde al 95% de los servidores públicos de carrera administrativa.")</f>
        <v>Para la vigencia evaluada 01 de octubre a 30 de diciembre de 2022 , Evaluación del Desempeño, parala vigencia 2022, se ejecuto de acuerdo con las fases planificadas, reposa en las Hojas de vida de los funcionarios evaluados 294 dentro de ellos 7 corresponden a periodo de prueba y 2 tienen situaciones reportadas ante la CNSC. El porcentaje evaluado corresponde al 95% de los servidores públicos de carrera administrativa.</v>
      </c>
      <c r="T124" s="11">
        <f ca="1">IFERROR(__xludf.DUMMYFUNCTION("""COMPUTED_VALUE"""),44925)</f>
        <v>44925</v>
      </c>
      <c r="U124" s="10"/>
    </row>
    <row r="125" spans="1:21" ht="409.5" x14ac:dyDescent="0.2">
      <c r="A125" s="10" t="str">
        <f ca="1">IFERROR(__xludf.DUMMYFUNCTION("""COMPUTED_VALUE"""),"Talento Humano")</f>
        <v>Talento Humano</v>
      </c>
      <c r="B125" s="10" t="str">
        <f ca="1">IFERROR(__xludf.DUMMYFUNCTION("""COMPUTED_VALUE"""),"Gestión Estratégica del Talento Humano - Componente Planeación - Categoría Normativo y del Entorno")</f>
        <v>Gestión Estratégica del Talento Humano - Componente Planeación - Categoría Normativo y del Entorno</v>
      </c>
      <c r="C125" s="10" t="str">
        <f ca="1">IFERROR(__xludf.DUMMYFUNCTION("""COMPUTED_VALUE"""),"Inducción y reinducción (Se agrega en el Plan Estratégico de Talento Humano, dado que éste contiene al Plan Institucional de Capacitación - Decreto 612 de 2018)")</f>
        <v>Inducción y reinducción (Se agrega en el Plan Estratégico de Talento Humano, dado que éste contiene al Plan Institucional de Capacitación - Decreto 612 de 2018)</v>
      </c>
      <c r="D125" s="10" t="str">
        <f ca="1">IFERROR(__xludf.DUMMYFUNCTION("""COMPUTED_VALUE"""),"El plan de capacitación que incluye la Inducción y Reinducción")</f>
        <v>El plan de capacitación que incluye la Inducción y Reinducción</v>
      </c>
      <c r="E125" s="10" t="str">
        <f ca="1">IFERROR(__xludf.DUMMYFUNCTION("""COMPUTED_VALUE"""),"# de funcionarios capacitados # de funcionarios evaluados en el programada de Inducción")</f>
        <v># de funcionarios capacitados # de funcionarios evaluados en el programada de Inducción</v>
      </c>
      <c r="F125" s="11">
        <f ca="1">IFERROR(__xludf.DUMMYFUNCTION("""COMPUTED_VALUE"""),44592)</f>
        <v>44592</v>
      </c>
      <c r="G125" s="11">
        <f ca="1">IFERROR(__xludf.DUMMYFUNCTION("""COMPUTED_VALUE"""),44925)</f>
        <v>44925</v>
      </c>
      <c r="H125" s="10" t="str">
        <f ca="1">IFERROR(__xludf.DUMMYFUNCTION("""COMPUTED_VALUE"""),"Director de Talento Humano")</f>
        <v>Director de Talento Humano</v>
      </c>
      <c r="I125" s="12">
        <f ca="1">IFERROR(__xludf.DUMMYFUNCTION("""COMPUTED_VALUE"""),0.7)</f>
        <v>0.7</v>
      </c>
      <c r="J125" s="10" t="str">
        <f ca="1">IFERROR(__xludf.DUMMYFUNCTION("""COMPUTED_VALUE"""),"Para la vigencia evaluada 01 de enero a 31 de marzo a  2022, Se cuenta con el plan de capacitación que incluye inducción, se realizo un mecanismo de capacitación mediante inducción  el cual permite evaluar a los funcionarios en los temas aprendidos y se r"&amp;"ealizo socialización a los funcionarios mediante  oficio SAIA, y se esta cumpliendo de acuerdo a lo pregrado.  EVIDENCIAS. PUNTO 12, DEL LINK https://www.pereira.gov.co/publicaciones/1145/sistemas-transversales/")</f>
        <v>Para la vigencia evaluada 01 de enero a 31 de marzo a  2022, Se cuenta con el plan de capacitación que incluye inducción, se realizo un mecanismo de capacitación mediante inducción  el cual permite evaluar a los funcionarios en los temas aprendidos y se realizo socialización a los funcionarios mediante  oficio SAIA, y se esta cumpliendo de acuerdo a lo pregrado.  EVIDENCIAS. PUNTO 12, DEL LINK https://www.pereira.gov.co/publicaciones/1145/sistemas-transversales/</v>
      </c>
      <c r="K125" s="11">
        <f ca="1">IFERROR(__xludf.DUMMYFUNCTION("""COMPUTED_VALUE"""),44651)</f>
        <v>44651</v>
      </c>
      <c r="L125" s="12">
        <f ca="1">IFERROR(__xludf.DUMMYFUNCTION("""COMPUTED_VALUE"""),0.75)</f>
        <v>0.75</v>
      </c>
      <c r="M125" s="10" t="str">
        <f ca="1">IFERROR(__xludf.DUMMYFUNCTION("""COMPUTED_VALUE"""),"Para la vigencia evaluada 30 de marzo a 30 de junio de 2022, se cuenta con el plan de capacitación que incluye inducción, a el corte se han capacitado 375 funcionarios, EVIDENCIAS CORREO pic@pereira,gov.co y  PUNTO 12, DEL LINK https://www.pereira.gov.co/"&amp;"publicaciones/1145/sistemas-transversales/")</f>
        <v>Para la vigencia evaluada 30 de marzo a 30 de junio de 2022, se cuenta con el plan de capacitación que incluye inducción, a el corte se han capacitado 375 funcionarios, EVIDENCIAS CORREO pic@pereira,gov.co y  PUNTO 12, DEL LINK https://www.pereira.gov.co/publicaciones/1145/sistemas-transversales/</v>
      </c>
      <c r="N125" s="11"/>
      <c r="O125" s="12">
        <f ca="1">IFERROR(__xludf.DUMMYFUNCTION("""COMPUTED_VALUE"""),0.85)</f>
        <v>0.85</v>
      </c>
      <c r="P125" s="10" t="str">
        <f ca="1">IFERROR(__xludf.DUMMYFUNCTION("""COMPUTED_VALUE"""),"Para la vigencia evaluada 01 de julio a 30 de septimbre de 2022, se cuenta con el plan de capacitación que incluye inducción, a el corte se han capacitado 380 funcionarios, EVIDENCIAS CORREO pic@pereira,gov.co y  PUNTO 12, DEL LINK https://www.pereira.gov"&amp;".co/publicaciones/1145/sistemas-transversales/")</f>
        <v>Para la vigencia evaluada 01 de julio a 30 de septimbre de 2022, se cuenta con el plan de capacitación que incluye inducción, a el corte se han capacitado 380 funcionarios, EVIDENCIAS CORREO pic@pereira,gov.co y  PUNTO 12, DEL LINK https://www.pereira.gov.co/publicaciones/1145/sistemas-transversales/</v>
      </c>
      <c r="Q125" s="11">
        <f ca="1">IFERROR(__xludf.DUMMYFUNCTION("""COMPUTED_VALUE"""),44834)</f>
        <v>44834</v>
      </c>
      <c r="R125" s="12">
        <f ca="1">IFERROR(__xludf.DUMMYFUNCTION("""COMPUTED_VALUE"""),0.95)</f>
        <v>0.95</v>
      </c>
      <c r="S125" s="10" t="str">
        <f ca="1">IFERROR(__xludf.DUMMYFUNCTION("""COMPUTED_VALUE"""),"Para la vigencia evaluada 01 de octubre a 30 de diciembre de 2022 , se cuento con el plan de capacitación que incluye inducción, al corte se han capacitado 390 funcionarios, EVIDENCIAS CORREO reposan en la técnico administrativo de la Dirección de Talento"&amp;" Humano encargada del proceso  pic@pereira,gov.co y PUNTO 12, DEL LINK https://www.pereira.gov.co/publicaciones/1145/sistemas-transversales/")</f>
        <v>Para la vigencia evaluada 01 de octubre a 30 de diciembre de 2022 , se cuento con el plan de capacitación que incluye inducción, al corte se han capacitado 390 funcionarios, EVIDENCIAS CORREO reposan en la técnico administrativo de la Dirección de Talento Humano encargada del proceso  pic@pereira,gov.co y PUNTO 12, DEL LINK https://www.pereira.gov.co/publicaciones/1145/sistemas-transversales/</v>
      </c>
      <c r="T125" s="11">
        <f ca="1">IFERROR(__xludf.DUMMYFUNCTION("""COMPUTED_VALUE"""),44925)</f>
        <v>44925</v>
      </c>
      <c r="U125" s="10"/>
    </row>
    <row r="126" spans="1:21" ht="395.25" x14ac:dyDescent="0.2">
      <c r="A126" s="10" t="str">
        <f ca="1">IFERROR(__xludf.DUMMYFUNCTION("""COMPUTED_VALUE"""),"Talento Humano")</f>
        <v>Talento Humano</v>
      </c>
      <c r="B126" s="10" t="str">
        <f ca="1">IFERROR(__xludf.DUMMYFUNCTION("""COMPUTED_VALUE"""),"Gestión Estratégica del Talento Humano - Componente Planeación - Categoría Planeación Estratégica")</f>
        <v>Gestión Estratégica del Talento Humano - Componente Planeación - Categoría Planeación Estratégica</v>
      </c>
      <c r="C126" s="10" t="str">
        <f ca="1">IFERROR(__xludf.DUMMYFUNCTION("""COMPUTED_VALUE"""),"Medición, análisis y mejoramiento del clima organizacional (Se agrega en el Plan estratégico de Talento Humano, dado que éste contiene al Plan de Bienestar y Estímulos - Decreto 612 de 2018)")</f>
        <v>Medición, análisis y mejoramiento del clima organizacional (Se agrega en el Plan estratégico de Talento Humano, dado que éste contiene al Plan de Bienestar y Estímulos - Decreto 612 de 2018)</v>
      </c>
      <c r="D126" s="10" t="str">
        <f ca="1">IFERROR(__xludf.DUMMYFUNCTION("""COMPUTED_VALUE"""),"Elaborar diagnostico de medición de clima organizacional")</f>
        <v>Elaborar diagnostico de medición de clima organizacional</v>
      </c>
      <c r="E126" s="10" t="str">
        <f ca="1">IFERROR(__xludf.DUMMYFUNCTION("""COMPUTED_VALUE"""),"Resultado del diagnostico de clima organizacional elaborado")</f>
        <v>Resultado del diagnostico de clima organizacional elaborado</v>
      </c>
      <c r="F126" s="11">
        <f ca="1">IFERROR(__xludf.DUMMYFUNCTION("""COMPUTED_VALUE"""),44592)</f>
        <v>44592</v>
      </c>
      <c r="G126" s="11">
        <f ca="1">IFERROR(__xludf.DUMMYFUNCTION("""COMPUTED_VALUE"""),44925)</f>
        <v>44925</v>
      </c>
      <c r="H126" s="10" t="str">
        <f ca="1">IFERROR(__xludf.DUMMYFUNCTION("""COMPUTED_VALUE"""),"Director de Talento Humano")</f>
        <v>Director de Talento Humano</v>
      </c>
      <c r="I126" s="12">
        <f ca="1">IFERROR(__xludf.DUMMYFUNCTION("""COMPUTED_VALUE"""),0.7)</f>
        <v>0.7</v>
      </c>
      <c r="J126" s="10" t="str">
        <f ca="1">IFERROR(__xludf.DUMMYFUNCTION("""COMPUTED_VALUE"""),"Para la vigencia evaluada 01 de enero a 31 de marzo a  2022, El plan estratégico de talento humano incluye el tema de Clima organizacional , la medición se  esta ejecutando de acuerdo con lo planificado , evidencias en SST/ CIRCULAR No. 113 ENCUESTA DE CL"&amp;"IMA ORGANIZACIONAL ALCALDIA DE PEREIRA 2022/ https://forms.gle/PFwUywjysKtddaVK7")</f>
        <v>Para la vigencia evaluada 01 de enero a 31 de marzo a  2022, El plan estratégico de talento humano incluye el tema de Clima organizacional , la medición se  esta ejecutando de acuerdo con lo planificado , evidencias en SST/ CIRCULAR No. 113 ENCUESTA DE CLIMA ORGANIZACIONAL ALCALDIA DE PEREIRA 2022/ https://forms.gle/PFwUywjysKtddaVK7</v>
      </c>
      <c r="K126" s="11">
        <f ca="1">IFERROR(__xludf.DUMMYFUNCTION("""COMPUTED_VALUE"""),44651)</f>
        <v>44651</v>
      </c>
      <c r="L126" s="12">
        <f ca="1">IFERROR(__xludf.DUMMYFUNCTION("""COMPUTED_VALUE"""),0.75)</f>
        <v>0.75</v>
      </c>
      <c r="M126" s="10" t="str">
        <f ca="1">IFERROR(__xludf.DUMMYFUNCTION("""COMPUTED_VALUE"""),"Para la vigencia evaluada 30 de marzo a 30 de junio de 2022, se aplicó encuesta de clima organizacional.  (Circular 113 de Marzo 30), de esta manera  se identifica las necesidades  por cada Secretaría  y se abren espacios de socialización con  Secretarios"&amp;" de Despacho o personal directivo delegado por éste para dicha actividad. ")</f>
        <v xml:space="preserve">Para la vigencia evaluada 30 de marzo a 30 de junio de 2022, se aplicó encuesta de clima organizacional.  (Circular 113 de Marzo 30), de esta manera  se identifica las necesidades  por cada Secretaría  y se abren espacios de socialización con  Secretarios de Despacho o personal directivo delegado por éste para dicha actividad. </v>
      </c>
      <c r="N126" s="11"/>
      <c r="O126" s="12">
        <f ca="1">IFERROR(__xludf.DUMMYFUNCTION("""COMPUTED_VALUE"""),0.85)</f>
        <v>0.85</v>
      </c>
      <c r="P126" s="10" t="str">
        <f ca="1">IFERROR(__xludf.DUMMYFUNCTION("""COMPUTED_VALUE"""),"Para la vigencia evaluada 01 de julio a 30 de septimbre de 2022, se aplicó encuesta de clima organizacional.  (Circular 113 de Marzo 30),  se identificaron las necesidades  por cada Secretaría  el reporte de dicho procedimiento reposa en la oficina de SST")</f>
        <v>Para la vigencia evaluada 01 de julio a 30 de septimbre de 2022, se aplicó encuesta de clima organizacional.  (Circular 113 de Marzo 30),  se identificaron las necesidades  por cada Secretaría  el reporte de dicho procedimiento reposa en la oficina de SST</v>
      </c>
      <c r="Q126" s="11">
        <f ca="1">IFERROR(__xludf.DUMMYFUNCTION("""COMPUTED_VALUE"""),44834)</f>
        <v>44834</v>
      </c>
      <c r="R126" s="12">
        <f ca="1">IFERROR(__xludf.DUMMYFUNCTION("""COMPUTED_VALUE"""),0.95)</f>
        <v>0.95</v>
      </c>
      <c r="S126" s="10" t="str">
        <f ca="1">IFERROR(__xludf.DUMMYFUNCTION("""COMPUTED_VALUE"""),"Para la vigencia evaluada 01 de octubre a 30 de diciembre de 2022 , se aplicó encuesta de clima organizacional. (Circular 113 de Marzo 30), se identificaron las necesidades por cada Secretaría , se realizo Medición, análisis y mejoramiento del clima organ"&amp;"izacional el reporte de dicho procedimiento reposa en la oficina de SST")</f>
        <v>Para la vigencia evaluada 01 de octubre a 30 de diciembre de 2022 , se aplicó encuesta de clima organizacional. (Circular 113 de Marzo 30), se identificaron las necesidades por cada Secretaría , se realizo Medición, análisis y mejoramiento del clima organizacional el reporte de dicho procedimiento reposa en la oficina de SST</v>
      </c>
      <c r="T126" s="11">
        <f ca="1">IFERROR(__xludf.DUMMYFUNCTION("""COMPUTED_VALUE"""),44925)</f>
        <v>44925</v>
      </c>
      <c r="U126" s="10"/>
    </row>
    <row r="127" spans="1:21" ht="409.5" x14ac:dyDescent="0.2">
      <c r="A127" s="10" t="str">
        <f ca="1">IFERROR(__xludf.DUMMYFUNCTION("""COMPUTED_VALUE"""),"Talento Humano")</f>
        <v>Talento Humano</v>
      </c>
      <c r="B127" s="10" t="str">
        <f ca="1">IFERROR(__xludf.DUMMYFUNCTION("""COMPUTED_VALUE"""),"Gestión Estratégica del Talento Humano - Componente Planeación - Categoría Gestión del Desempeño")</f>
        <v>Gestión Estratégica del Talento Humano - Componente Planeación - Categoría Gestión del Desempeño</v>
      </c>
      <c r="C127" s="10" t="str">
        <f ca="1">IFERROR(__xludf.DUMMYFUNCTION("""COMPUTED_VALUE"""),"Coordinar lo pertinente para que los servidores públicos de las entidades del orden nacional presenten la Declaración de Bienes y Rentas entre el 1° de abril y el 31 de mayo de cada vigencia; y los del orden territorial entre el 1° de junio y el 31 de jul"&amp;"io de cada vigencia.")</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D127" s="10" t="str">
        <f ca="1">IFERROR(__xludf.DUMMYFUNCTION("""COMPUTED_VALUE"""),"Porcentaje de servidores que presentaron la Declaración Juramentada de Bienes y Rentas en el plazo estipulado")</f>
        <v>Porcentaje de servidores que presentaron la Declaración Juramentada de Bienes y Rentas en el plazo estipulado</v>
      </c>
      <c r="E127" s="10" t="str">
        <f ca="1">IFERROR(__xludf.DUMMYFUNCTION("""COMPUTED_VALUE"""),"No de servidores públicos que presentaron la Declaración Juramentada de Bienes y Rentas en el plazo estipulado/ No de servidores públicos que deben presentar Declaración Juramentada de Bienes y Rentas.")</f>
        <v>No de servidores públicos que presentaron la Declaración Juramentada de Bienes y Rentas en el plazo estipulado/ No de servidores públicos que deben presentar Declaración Juramentada de Bienes y Rentas.</v>
      </c>
      <c r="F127" s="11">
        <f ca="1">IFERROR(__xludf.DUMMYFUNCTION("""COMPUTED_VALUE"""),44592)</f>
        <v>44592</v>
      </c>
      <c r="G127" s="11">
        <f ca="1">IFERROR(__xludf.DUMMYFUNCTION("""COMPUTED_VALUE"""),44925)</f>
        <v>44925</v>
      </c>
      <c r="H127" s="10" t="str">
        <f ca="1">IFERROR(__xludf.DUMMYFUNCTION("""COMPUTED_VALUE"""),"Director de Talento Humano")</f>
        <v>Director de Talento Humano</v>
      </c>
      <c r="I127" s="12">
        <f ca="1">IFERROR(__xludf.DUMMYFUNCTION("""COMPUTED_VALUE"""),0.5)</f>
        <v>0.5</v>
      </c>
      <c r="J127" s="10" t="str">
        <f ca="1">IFERROR(__xludf.DUMMYFUNCTION("""COMPUTED_VALUE"""),"Para la vigencia evaluada 01 de enero a 31 de marzo a  2022, no se ha adelantado ninguna actividad, la Declaración de Bienes y Rentas, por la normatividad será  los del orden territorial entre el 1° de junio y el 31 de julio de cada vigencia.")</f>
        <v>Para la vigencia evaluada 01 de enero a 31 de marzo a  2022, no se ha adelantado ninguna actividad, la Declaración de Bienes y Rentas, por la normatividad será  los del orden territorial entre el 1° de junio y el 31 de julio de cada vigencia.</v>
      </c>
      <c r="K127" s="11">
        <f ca="1">IFERROR(__xludf.DUMMYFUNCTION("""COMPUTED_VALUE"""),44651)</f>
        <v>44651</v>
      </c>
      <c r="L127" s="12">
        <f ca="1">IFERROR(__xludf.DUMMYFUNCTION("""COMPUTED_VALUE"""),0.6)</f>
        <v>0.6</v>
      </c>
      <c r="M127" s="10" t="str">
        <f ca="1">IFERROR(__xludf.DUMMYFUNCTION("""COMPUTED_VALUE"""),"Para la vigencia evaluada 30 de marzo a 30 de junio de 2022, se ha adelantado, invitaciones circular  182 ELABORACIÓN DECLARACIÓN DE BIENES Y RENTAS DE LA VIGENCIA 2022 y mediante piezas publicitarias para que los funcionarios realicen   la Declaración de"&amp;" Bienes y Rentas, por la normatividad será  los del orden territorial entre el 1° de junio y el 31 de julio de 2022, a la fecha de presentación de avances aun nos encontramos en términos para a realizar la declaración.
")</f>
        <v xml:space="preserve">Para la vigencia evaluada 30 de marzo a 30 de junio de 2022, se ha adelantado, invitaciones circular  182 ELABORACIÓN DECLARACIÓN DE BIENES Y RENTAS DE LA VIGENCIA 2022 y mediante piezas publicitarias para que los funcionarios realicen   la Declaración de Bienes y Rentas, por la normatividad será  los del orden territorial entre el 1° de junio y el 31 de julio de 2022, a la fecha de presentación de avances aun nos encontramos en términos para a realizar la declaración.
</v>
      </c>
      <c r="N127" s="11"/>
      <c r="O127" s="12">
        <f ca="1">IFERROR(__xludf.DUMMYFUNCTION("""COMPUTED_VALUE"""),0.93)</f>
        <v>0.93</v>
      </c>
      <c r="P127" s="10" t="str">
        <f ca="1">IFERROR(__xludf.DUMMYFUNCTION("""COMPUTED_VALUE"""),"Para la vigencia evaluada 01 de julio a 30 de septimbre de 2022,   la Declaración de Bienes y Rentas, por la normatividad se cerro el 31 de julio de 2022, a corte de este reporte   727 funcionarios y trabjadores oficiales  realizaron declaración con un 93"&amp;"%, quedando 7% falta por realizar la Declaración, el reporte de esta informacion reposa en el aplicativo SIGEPll, el cual se puede evidenciar en la Dirección Administrativa de Talento Humano
")</f>
        <v xml:space="preserve">Para la vigencia evaluada 01 de julio a 30 de septimbre de 2022,   la Declaración de Bienes y Rentas, por la normatividad se cerro el 31 de julio de 2022, a corte de este reporte   727 funcionarios y trabjadores oficiales  realizaron declaración con un 93%, quedando 7% falta por realizar la Declaración, el reporte de esta informacion reposa en el aplicativo SIGEPll, el cual se puede evidenciar en la Dirección Administrativa de Talento Humano
</v>
      </c>
      <c r="Q127" s="11">
        <f ca="1">IFERROR(__xludf.DUMMYFUNCTION("""COMPUTED_VALUE"""),44834)</f>
        <v>44834</v>
      </c>
      <c r="R127" s="12">
        <f ca="1">IFERROR(__xludf.DUMMYFUNCTION("""COMPUTED_VALUE"""),0.94)</f>
        <v>0.94</v>
      </c>
      <c r="S127" s="10" t="str">
        <f ca="1">IFERROR(__xludf.DUMMYFUNCTION("""COMPUTED_VALUE"""),"Para la vigencia evaluada 01 de octubre a 30 de diciembre de 2022 , la Declaración de Bienes y Rentas, por la normatividad se cerro el 31 de julio de 2022, a corte de este reporte 727 funcionarios y trabajadores oficiales realizaron declaración con un 94%"&amp;", quedando 6% falta por realizar la Declaración, el reporte de esta información reposa en el aplicativo SIGEPll, el cual se puede evidenciar en la Dirección Administrativa de Talento Humano")</f>
        <v>Para la vigencia evaluada 01 de octubre a 30 de diciembre de 2022 , la Declaración de Bienes y Rentas, por la normatividad se cerro el 31 de julio de 2022, a corte de este reporte 727 funcionarios y trabajadores oficiales realizaron declaración con un 94%, quedando 6% falta por realizar la Declaración, el reporte de esta información reposa en el aplicativo SIGEPll, el cual se puede evidenciar en la Dirección Administrativa de Talento Humano</v>
      </c>
      <c r="T127" s="11">
        <f ca="1">IFERROR(__xludf.DUMMYFUNCTION("""COMPUTED_VALUE"""),44925)</f>
        <v>44925</v>
      </c>
      <c r="U127" s="10"/>
    </row>
    <row r="128" spans="1:21" ht="344.25" x14ac:dyDescent="0.2">
      <c r="A128" s="10" t="str">
        <f ca="1">IFERROR(__xludf.DUMMYFUNCTION("""COMPUTED_VALUE"""),"Talento Humano")</f>
        <v>Talento Humano</v>
      </c>
      <c r="B128" s="10" t="str">
        <f ca="1">IFERROR(__xludf.DUMMYFUNCTION("""COMPUTED_VALUE"""),"Gestión Estratégica del Talento Humano - Componente Planeación - Categoría Gestión del Desempeño")</f>
        <v>Gestión Estratégica del Talento Humano - Componente Planeación - Categoría Gestión del Desempeño</v>
      </c>
      <c r="C128" s="10" t="str">
        <f ca="1">IFERROR(__xludf.DUMMYFUNCTION("""COMPUTED_VALUE"""),"Llevar registros de todas las actividades de bienestar y capacitación realizadas, y contar con información sistematizada sobre número de asistentes y servidores que participaron en las actividades, incluyendo familiares.")</f>
        <v>Llevar registros de todas las actividades de bienestar y capacitación realizadas, y contar con información sistematizada sobre número de asistentes y servidores que participaron en las actividades, incluyendo familiares.</v>
      </c>
      <c r="D128" s="10" t="str">
        <f ca="1">IFERROR(__xludf.DUMMYFUNCTION("""COMPUTED_VALUE"""),"Registros organizados de las actividades en información sistematizada")</f>
        <v>Registros organizados de las actividades en información sistematizada</v>
      </c>
      <c r="E128" s="10" t="str">
        <f ca="1">IFERROR(__xludf.DUMMYFUNCTION("""COMPUTED_VALUE"""),"registros de participación a las actividades y lista de asistentes a las actividades de bienestar y capacitación")</f>
        <v>registros de participación a las actividades y lista de asistentes a las actividades de bienestar y capacitación</v>
      </c>
      <c r="F128" s="11">
        <f ca="1">IFERROR(__xludf.DUMMYFUNCTION("""COMPUTED_VALUE"""),44592)</f>
        <v>44592</v>
      </c>
      <c r="G128" s="11">
        <f ca="1">IFERROR(__xludf.DUMMYFUNCTION("""COMPUTED_VALUE"""),44925)</f>
        <v>44925</v>
      </c>
      <c r="H128" s="10" t="str">
        <f ca="1">IFERROR(__xludf.DUMMYFUNCTION("""COMPUTED_VALUE"""),"Director de Talento Humano")</f>
        <v>Director de Talento Humano</v>
      </c>
      <c r="I128" s="12">
        <f ca="1">IFERROR(__xludf.DUMMYFUNCTION("""COMPUTED_VALUE"""),0.65)</f>
        <v>0.65</v>
      </c>
      <c r="J128" s="10" t="str">
        <f ca="1">IFERROR(__xludf.DUMMYFUNCTION("""COMPUTED_VALUE"""),"Para la vigencia evaluada 01 de enero a 31 de marzo a  2022, se cuenta con el registro de las actividades realizadas, las evidencias están en la dirección administrativa de Talento Humano, por la técnica administrativa encargada del proceso PIC. ")</f>
        <v xml:space="preserve">Para la vigencia evaluada 01 de enero a 31 de marzo a  2022, se cuenta con el registro de las actividades realizadas, las evidencias están en la dirección administrativa de Talento Humano, por la técnica administrativa encargada del proceso PIC. </v>
      </c>
      <c r="K128" s="11">
        <f ca="1">IFERROR(__xludf.DUMMYFUNCTION("""COMPUTED_VALUE"""),44651)</f>
        <v>44651</v>
      </c>
      <c r="L128" s="12">
        <f ca="1">IFERROR(__xludf.DUMMYFUNCTION("""COMPUTED_VALUE"""),0.7)</f>
        <v>0.7</v>
      </c>
      <c r="M128" s="10" t="str">
        <f ca="1">IFERROR(__xludf.DUMMYFUNCTION("""COMPUTED_VALUE"""),"Para la vigencia evaluada 30 de marzo a 30 de junio de 2022, dando cumplimiento al cronograma de actividades de los Planes Institucionales de Capacitación, Incentivos y Bienestar Laboral.   se cuenta con el registro de las actividades realizadas, las evid"&amp;"encias están en la dirección administrativa de Talento Humano, por la técnica administrativa encargada del proceso PIC, •situaciones administrativas como son:
 Permisos de estudio a todos los funcionarios que cumplen con el requisito exigido por la normat"&amp;"ividad vigente.• Expedición de tarjetas de cumpleaños, tarjeta día de la mujer, tarjeta día de la madre
• Se manejo un horario especial en (semana santa) el cual fue compensado y regulado por el Decreto 0840 de Noviembre de 17 de 2021.
• Se realizó la aut"&amp;"orización y pago del 100%  de las capacitaciones solicitadas por los funcionarios.
• Se realiza contante acompañamiento psicológico a través del personal de Seguridad y Salud en el Trabajo. 
")</f>
        <v xml:space="preserve">Para la vigencia evaluada 30 de marzo a 30 de junio de 2022, dando cumplimiento al cronograma de actividades de los Planes Institucionales de Capacitación, Incentivos y Bienestar Laboral.   se cuenta con el registro de las actividades realizadas, las evidencias están en la dirección administrativa de Talento Humano, por la técnica administrativa encargada del proceso PIC, •situaciones administrativas como son:
 Permisos de estudio a todos los funcionarios que cumplen con el requisito exigido por la normatividad vigente.• Expedición de tarjetas de cumpleaños, tarjeta día de la mujer, tarjeta día de la madre
• Se manejo un horario especial en (semana santa) el cual fue compensado y regulado por el Decreto 0840 de Noviembre de 17 de 2021.
• Se realizó la autorización y pago del 100%  de las capacitaciones solicitadas por los funcionarios.
• Se realiza contante acompañamiento psicológico a través del personal de Seguridad y Salud en el Trabajo. 
</v>
      </c>
      <c r="N128" s="11"/>
      <c r="O128" s="12">
        <f ca="1">IFERROR(__xludf.DUMMYFUNCTION("""COMPUTED_VALUE"""),0.8)</f>
        <v>0.8</v>
      </c>
      <c r="P128" s="10" t="str">
        <f ca="1">IFERROR(__xludf.DUMMYFUNCTION("""COMPUTED_VALUE"""),"Para la vigencia evaluada 01 de julio a 30 de septimbre de 2022, se cuenta con el Rergistro de las actividades y lista de los funcionarios que asisten a las mismas. https://docs.google.com/spreadsheets/d/1-QmzlxX5W7A_opTbZaWGd7jU9by2sTgyhmtt2bCJYYQ/edit?i"&amp;"nvite=CKKz8M4F#gid=0")</f>
        <v>Para la vigencia evaluada 01 de julio a 30 de septimbre de 2022, se cuenta con el Rergistro de las actividades y lista de los funcionarios que asisten a las mismas. https://docs.google.com/spreadsheets/d/1-QmzlxX5W7A_opTbZaWGd7jU9by2sTgyhmtt2bCJYYQ/edit?invite=CKKz8M4F#gid=0</v>
      </c>
      <c r="Q128" s="11">
        <f ca="1">IFERROR(__xludf.DUMMYFUNCTION("""COMPUTED_VALUE"""),44834)</f>
        <v>44834</v>
      </c>
      <c r="R128" s="12">
        <f ca="1">IFERROR(__xludf.DUMMYFUNCTION("""COMPUTED_VALUE"""),0.95)</f>
        <v>0.95</v>
      </c>
      <c r="S128" s="10" t="str">
        <f ca="1">IFERROR(__xludf.DUMMYFUNCTION("""COMPUTED_VALUE"""),"Para la vigencia evaluada 01 de octubre a 30 de diciembre de 2022 , se cuenta con el Registro de las actividades y lista de los funcionarios que asistieron a las mismas. https://docs.google.com/spreadsheets/d/1-QmzlxX5W7A_opTbZaWGd7jU9by2sTgyhmtt2bCJYYQ/e"&amp;"dit?invite=CKKz8M4F#gid=0")</f>
        <v>Para la vigencia evaluada 01 de octubre a 30 de diciembre de 2022 , se cuenta con el Registro de las actividades y lista de los funcionarios que asistieron a las mismas. https://docs.google.com/spreadsheets/d/1-QmzlxX5W7A_opTbZaWGd7jU9by2sTgyhmtt2bCJYYQ/edit?invite=CKKz8M4F#gid=0</v>
      </c>
      <c r="T128" s="11">
        <f ca="1">IFERROR(__xludf.DUMMYFUNCTION("""COMPUTED_VALUE"""),44925)</f>
        <v>44925</v>
      </c>
      <c r="U128" s="10"/>
    </row>
    <row r="129" spans="1:21" ht="409.5" x14ac:dyDescent="0.2">
      <c r="A129" s="10" t="str">
        <f ca="1">IFERROR(__xludf.DUMMYFUNCTION("""COMPUTED_VALUE"""),"Talento Humano")</f>
        <v>Talento Humano</v>
      </c>
      <c r="B129" s="10" t="str">
        <f ca="1">IFERROR(__xludf.DUMMYFUNCTION("""COMPUTED_VALUE"""),"Gestión Estratégica del Talento Humano - Componente Planeación - Categoría Gestión del Desempeño")</f>
        <v>Gestión Estratégica del Talento Humano - Componente Planeación - Categoría Gestión del Desempeño</v>
      </c>
      <c r="C129" s="10" t="str">
        <f ca="1">IFERROR(__xludf.DUMMYFUNCTION("""COMPUTED_VALUE"""),"Llevar a cabo las labores de evaluación de desempeño de conformidad con la normatividad vigente y llevar los registros correspondientes, en sus respectivas fases.")</f>
        <v>Llevar a cabo las labores de evaluación de desempeño de conformidad con la normatividad vigente y llevar los registros correspondientes, en sus respectivas fases.</v>
      </c>
      <c r="D129" s="10" t="str">
        <f ca="1">IFERROR(__xludf.DUMMYFUNCTION("""COMPUTED_VALUE"""),"información confiable y en tiempo real de las calificaciones de desempeño de todos los servidores evaluados")</f>
        <v>información confiable y en tiempo real de las calificaciones de desempeño de todos los servidores evaluados</v>
      </c>
      <c r="E129" s="10" t="str">
        <f ca="1">IFERROR(__xludf.DUMMYFUNCTION("""COMPUTED_VALUE"""),"No de servidores públicos evaluados / No calificaciones de desempeño evaluadas")</f>
        <v>No de servidores públicos evaluados / No calificaciones de desempeño evaluadas</v>
      </c>
      <c r="F129" s="11">
        <f ca="1">IFERROR(__xludf.DUMMYFUNCTION("""COMPUTED_VALUE"""),44592)</f>
        <v>44592</v>
      </c>
      <c r="G129" s="11">
        <f ca="1">IFERROR(__xludf.DUMMYFUNCTION("""COMPUTED_VALUE"""),44925)</f>
        <v>44925</v>
      </c>
      <c r="H129" s="10" t="str">
        <f ca="1">IFERROR(__xludf.DUMMYFUNCTION("""COMPUTED_VALUE"""),"Director de Talento Humano")</f>
        <v>Director de Talento Humano</v>
      </c>
      <c r="I129" s="12">
        <f ca="1">IFERROR(__xludf.DUMMYFUNCTION("""COMPUTED_VALUE"""),0.6)</f>
        <v>0.6</v>
      </c>
      <c r="J129" s="10" t="str">
        <f ca="1">IFERROR(__xludf.DUMMYFUNCTION("""COMPUTED_VALUE"""),"Para la vigencia evaluada 01 de enero a 31 de marzo a  2022, se encuentra en proceso la evaluación del desempeño ")</f>
        <v xml:space="preserve">Para la vigencia evaluada 01 de enero a 31 de marzo a  2022, se encuentra en proceso la evaluación del desempeño </v>
      </c>
      <c r="K129" s="11">
        <f ca="1">IFERROR(__xludf.DUMMYFUNCTION("""COMPUTED_VALUE"""),44651)</f>
        <v>44651</v>
      </c>
      <c r="L129" s="12">
        <f ca="1">IFERROR(__xludf.DUMMYFUNCTION("""COMPUTED_VALUE"""),0.65)</f>
        <v>0.65</v>
      </c>
      <c r="M129" s="10" t="str">
        <f ca="1">IFERROR(__xludf.DUMMYFUNCTION("""COMPUTED_VALUE"""),"Para la vigencia evaluada, en el  corte del 31 de enero donde se evalúa el periodo de 2021- 2022, del personal apto para ser evaluado en periodo anual que correspondía a 309 personas, se recibieron 236 soportes de evaluación y no se cuenta con soportes de"&amp;" 73 funcionarios.
A la fecha está pendiente adelantar la evaluación del periodo del  01 de febrero al 31 de julio de 2022, que se realiza en los primeros quince días hábiles del mes de agosto.
Se envió la CIRCULAR No. 47 ASUNTO: CONCERTACIÓN DE COMPROMI"&amp;"SOS PERIODO 2022-2023 - EVALUACIÓN DE DESEMPEŃO LABORAL
")</f>
        <v xml:space="preserve">Para la vigencia evaluada, en el  corte del 31 de enero donde se evalúa el periodo de 2021- 2022, del personal apto para ser evaluado en periodo anual que correspondía a 309 personas, se recibieron 236 soportes de evaluación y no se cuenta con soportes de 73 funcionarios.
A la fecha está pendiente adelantar la evaluación del periodo del  01 de febrero al 31 de julio de 2022, que se realiza en los primeros quince días hábiles del mes de agosto.
Se envió la CIRCULAR No. 47 ASUNTO: CONCERTACIÓN DE COMPROMISOS PERIODO 2022-2023 - EVALUACIÓN DE DESEMPEŃO LABORAL
</v>
      </c>
      <c r="N129" s="11"/>
      <c r="O129" s="12">
        <f ca="1">IFERROR(__xludf.DUMMYFUNCTION("""COMPUTED_VALUE"""),0.93)</f>
        <v>0.93</v>
      </c>
      <c r="P129" s="10" t="str">
        <f ca="1">IFERROR(__xludf.DUMMYFUNCTION("""COMPUTED_VALUE"""),"Para la vigencia evaluada 01 de julio a 30 de septimbre de 2022, de 309 funcionarios  fueron evaluados 294 dentro de ellos 7 corresponden a periodo de prueba y 2 tienen situaciones reportadas ante la CNSC. El porcentaje evaluado corresponde al 95% de los "&amp;"servidores públicos de carrera administrativa. cada evaluacion reposa en la hoja de vida de los funcionarios,")</f>
        <v>Para la vigencia evaluada 01 de julio a 30 de septimbre de 2022, de 309 funcionarios  fueron evaluados 294 dentro de ellos 7 corresponden a periodo de prueba y 2 tienen situaciones reportadas ante la CNSC. El porcentaje evaluado corresponde al 95% de los servidores públicos de carrera administrativa. cada evaluacion reposa en la hoja de vida de los funcionarios,</v>
      </c>
      <c r="Q129" s="11">
        <f ca="1">IFERROR(__xludf.DUMMYFUNCTION("""COMPUTED_VALUE"""),44834)</f>
        <v>44834</v>
      </c>
      <c r="R129" s="12">
        <f ca="1">IFERROR(__xludf.DUMMYFUNCTION("""COMPUTED_VALUE"""),0.93)</f>
        <v>0.93</v>
      </c>
      <c r="S129" s="10" t="str">
        <f ca="1">IFERROR(__xludf.DUMMYFUNCTION("""COMPUTED_VALUE"""),"Para la vigencia evaluada 01 de octubre a 30 de diciembre de 2022 , se ejecuto de acuerdo con las fases planificadas, reposa en las Hojas de vida de los funcionarios evaluados 294 dentro de ellos 7 corresponden a periodo de prueba y 2 tienen situaciones r"&amp;"eportadas ante la CNSC. El porcentaje evaluado corresponde al 95% de los servidores públicos de carrera administrativa.")</f>
        <v>Para la vigencia evaluada 01 de octubre a 30 de diciembre de 2022 , se ejecuto de acuerdo con las fases planificadas, reposa en las Hojas de vida de los funcionarios evaluados 294 dentro de ellos 7 corresponden a periodo de prueba y 2 tienen situaciones reportadas ante la CNSC. El porcentaje evaluado corresponde al 95% de los servidores públicos de carrera administrativa.</v>
      </c>
      <c r="T129" s="11">
        <f ca="1">IFERROR(__xludf.DUMMYFUNCTION("""COMPUTED_VALUE"""),44925)</f>
        <v>44925</v>
      </c>
      <c r="U129" s="10"/>
    </row>
    <row r="130" spans="1:21" ht="331.5" x14ac:dyDescent="0.2">
      <c r="A130" s="10" t="str">
        <f ca="1">IFERROR(__xludf.DUMMYFUNCTION("""COMPUTED_VALUE"""),"Talento Humano")</f>
        <v>Talento Humano</v>
      </c>
      <c r="B130" s="10" t="str">
        <f ca="1">IFERROR(__xludf.DUMMYFUNCTION("""COMPUTED_VALUE"""),"Gestión Estratégica del Talento Humano - Componente Planeación - Categoría Gestión del Desempeño")</f>
        <v>Gestión Estratégica del Talento Humano - Componente Planeación - Categoría Gestión del Desempeño</v>
      </c>
      <c r="C130" s="10" t="str">
        <f ca="1">IFERROR(__xludf.DUMMYFUNCTION("""COMPUTED_VALUE"""),"Establecer y hacer seguimiento a los planes de mejoramiento individual teniendo en cuenta: Evaluación del desempeño")</f>
        <v>Establecer y hacer seguimiento a los planes de mejoramiento individual teniendo en cuenta: Evaluación del desempeño</v>
      </c>
      <c r="D130" s="10" t="str">
        <f ca="1">IFERROR(__xludf.DUMMYFUNCTION("""COMPUTED_VALUE"""),"seguimiento a los planes de mejoramiento individual")</f>
        <v>seguimiento a los planes de mejoramiento individual</v>
      </c>
      <c r="E130" s="10" t="str">
        <f ca="1">IFERROR(__xludf.DUMMYFUNCTION("""COMPUTED_VALUE"""),"No. de Planes de mejoramiento establecidos /sobre total de servidores")</f>
        <v>No. de Planes de mejoramiento establecidos /sobre total de servidores</v>
      </c>
      <c r="F130" s="11">
        <f ca="1">IFERROR(__xludf.DUMMYFUNCTION("""COMPUTED_VALUE"""),44592)</f>
        <v>44592</v>
      </c>
      <c r="G130" s="11">
        <f ca="1">IFERROR(__xludf.DUMMYFUNCTION("""COMPUTED_VALUE"""),44925)</f>
        <v>44925</v>
      </c>
      <c r="H130" s="10" t="str">
        <f ca="1">IFERROR(__xludf.DUMMYFUNCTION("""COMPUTED_VALUE"""),"Director de Talento Humano")</f>
        <v>Director de Talento Humano</v>
      </c>
      <c r="I130" s="12">
        <f ca="1">IFERROR(__xludf.DUMMYFUNCTION("""COMPUTED_VALUE"""),0.6)</f>
        <v>0.6</v>
      </c>
      <c r="J130" s="10" t="str">
        <f ca="1">IFERROR(__xludf.DUMMYFUNCTION("""COMPUTED_VALUE"""),"Para la vigencia evaluada 01 de enero a 31 de marzo a  2022, se encuentra en proceso la evaluación del desempeño ")</f>
        <v xml:space="preserve">Para la vigencia evaluada 01 de enero a 31 de marzo a  2022, se encuentra en proceso la evaluación del desempeño </v>
      </c>
      <c r="K130" s="11">
        <f ca="1">IFERROR(__xludf.DUMMYFUNCTION("""COMPUTED_VALUE"""),44651)</f>
        <v>44651</v>
      </c>
      <c r="L130" s="12">
        <f ca="1">IFERROR(__xludf.DUMMYFUNCTION("""COMPUTED_VALUE"""),0.6)</f>
        <v>0.6</v>
      </c>
      <c r="M130" s="10" t="str">
        <f ca="1">IFERROR(__xludf.DUMMYFUNCTION("""COMPUTED_VALUE"""),"En la vigencia evaluada no se recibieron en la Dirección de Talento Humano, planes de mejoramiento individual reportado por los evaluadores, no existiendo el requisito de hacer seguimiento a los planes suscritos.")</f>
        <v>En la vigencia evaluada no se recibieron en la Dirección de Talento Humano, planes de mejoramiento individual reportado por los evaluadores, no existiendo el requisito de hacer seguimiento a los planes suscritos.</v>
      </c>
      <c r="N130" s="11"/>
      <c r="O130" s="12">
        <f ca="1">IFERROR(__xludf.DUMMYFUNCTION("""COMPUTED_VALUE"""),0.6)</f>
        <v>0.6</v>
      </c>
      <c r="P130" s="10" t="str">
        <f ca="1">IFERROR(__xludf.DUMMYFUNCTION("""COMPUTED_VALUE"""),"Para la vigencia evaluada 01 de julio a 30 de septimbre de 2022, En la vigencia evaluada no se recibieron en la Dirección de Talento Humano, planes de mejoramiento individual reportado por los evaluadores, no existiendo el requisito de hacer seguimiento a"&amp;" los planes suscritos.")</f>
        <v>Para la vigencia evaluada 01 de julio a 30 de septimbre de 2022, En la vigencia evaluada no se recibieron en la Dirección de Talento Humano, planes de mejoramiento individual reportado por los evaluadores, no existiendo el requisito de hacer seguimiento a los planes suscritos.</v>
      </c>
      <c r="Q130" s="11">
        <f ca="1">IFERROR(__xludf.DUMMYFUNCTION("""COMPUTED_VALUE"""),44834)</f>
        <v>44834</v>
      </c>
      <c r="R130" s="12">
        <f ca="1">IFERROR(__xludf.DUMMYFUNCTION("""COMPUTED_VALUE"""),0.6)</f>
        <v>0.6</v>
      </c>
      <c r="S130" s="10" t="str">
        <f ca="1">IFERROR(__xludf.DUMMYFUNCTION("""COMPUTED_VALUE"""),"Para la vigencia evaluada 01 de octubre a 30 de diciembre de 2022 , En la vigencia evaluada no se recibieron en la Dirección de Talento Humano, planes de mejoramiento individual reportado por los evaluadores, no existiendo el requisito de hacer seguimient"&amp;"o a los planes suscritos.")</f>
        <v>Para la vigencia evaluada 01 de octubre a 30 de diciembre de 2022 , En la vigencia evaluada no se recibieron en la Dirección de Talento Humano, planes de mejoramiento individual reportado por los evaluadores, no existiendo el requisito de hacer seguimiento a los planes suscritos.</v>
      </c>
      <c r="T130" s="11">
        <f ca="1">IFERROR(__xludf.DUMMYFUNCTION("""COMPUTED_VALUE"""),44925)</f>
        <v>44925</v>
      </c>
      <c r="U130" s="10"/>
    </row>
    <row r="131" spans="1:21" ht="409.5" x14ac:dyDescent="0.2">
      <c r="A131" s="10" t="str">
        <f ca="1">IFERROR(__xludf.DUMMYFUNCTION("""COMPUTED_VALUE"""),"Talento Humano")</f>
        <v>Talento Humano</v>
      </c>
      <c r="B131" s="10" t="str">
        <f ca="1">IFERROR(__xludf.DUMMYFUNCTION("""COMPUTED_VALUE"""),"Gestión Estratégica del Talento Humano - Componente Planeación - Categoría Gestión del Desempeño")</f>
        <v>Gestión Estratégica del Talento Humano - Componente Planeación - Categoría Gestión del Desempeño</v>
      </c>
      <c r="C131" s="10" t="str">
        <f ca="1">IFERROR(__xludf.DUMMYFUNCTION("""COMPUTED_VALUE"""),"Establecer mecanismos de evaluación periódica del desempeño en torno al servicio al ciudadano diferentes a las obligatorias.")</f>
        <v>Establecer mecanismos de evaluación periódica del desempeño en torno al servicio al ciudadano diferentes a las obligatorias.</v>
      </c>
      <c r="D131" s="10" t="str">
        <f ca="1">IFERROR(__xludf.DUMMYFUNCTION("""COMPUTED_VALUE"""),"implementado mecanismos alternativos de evaluación periódica del desempeño en torno al servicio al ciudadano")</f>
        <v>implementado mecanismos alternativos de evaluación periódica del desempeño en torno al servicio al ciudadano</v>
      </c>
      <c r="E131" s="10" t="str">
        <f ca="1">IFERROR(__xludf.DUMMYFUNCTION("""COMPUTED_VALUE"""),"No. de mecanismos alternativos establecidos /sobre total de servidores evaluados")</f>
        <v>No. de mecanismos alternativos establecidos /sobre total de servidores evaluados</v>
      </c>
      <c r="F131" s="11">
        <f ca="1">IFERROR(__xludf.DUMMYFUNCTION("""COMPUTED_VALUE"""),44592)</f>
        <v>44592</v>
      </c>
      <c r="G131" s="11">
        <f ca="1">IFERROR(__xludf.DUMMYFUNCTION("""COMPUTED_VALUE"""),44925)</f>
        <v>44925</v>
      </c>
      <c r="H131" s="10" t="str">
        <f ca="1">IFERROR(__xludf.DUMMYFUNCTION("""COMPUTED_VALUE"""),"Director de Talento Humano")</f>
        <v>Director de Talento Humano</v>
      </c>
      <c r="I131" s="12">
        <f ca="1">IFERROR(__xludf.DUMMYFUNCTION("""COMPUTED_VALUE"""),0.6)</f>
        <v>0.6</v>
      </c>
      <c r="J131" s="10" t="str">
        <f ca="1">IFERROR(__xludf.DUMMYFUNCTION("""COMPUTED_VALUE"""),"Para la vigencia evaluada 01 de enero a 31 de marzo a  2022, se encuentra en proceso la evaluación del desempeño ")</f>
        <v xml:space="preserve">Para la vigencia evaluada 01 de enero a 31 de marzo a  2022, se encuentra en proceso la evaluación del desempeño </v>
      </c>
      <c r="K131" s="11">
        <f ca="1">IFERROR(__xludf.DUMMYFUNCTION("""COMPUTED_VALUE"""),44651)</f>
        <v>44651</v>
      </c>
      <c r="L131" s="12">
        <f ca="1">IFERROR(__xludf.DUMMYFUNCTION("""COMPUTED_VALUE"""),0.6)</f>
        <v>0.6</v>
      </c>
      <c r="M131" s="10" t="str">
        <f ca="1">IFERROR(__xludf.DUMMYFUNCTION("""COMPUTED_VALUE"""),"Para la vigencia evaluada 30 de marzo a 30 de junio de 2022, se encuentra en proceso la medición de atención al servicio al ciudadano.")</f>
        <v>Para la vigencia evaluada 30 de marzo a 30 de junio de 2022, se encuentra en proceso la medición de atención al servicio al ciudadano.</v>
      </c>
      <c r="N131" s="11"/>
      <c r="O131" s="12">
        <f ca="1">IFERROR(__xludf.DUMMYFUNCTION("""COMPUTED_VALUE"""),0.6)</f>
        <v>0.6</v>
      </c>
      <c r="P131" s="10" t="str">
        <f ca="1">IFERROR(__xludf.DUMMYFUNCTION("""COMPUTED_VALUE"""),"Para la vigencia evaluada 01 de julio a 30 de septimbre de 2022, se informa que la medición se realiza de forma anual la cual se realizara para el mes de noviembre y se encuentra en proceso de elaboración por la oficina de  atención  servicio al ciudadano"&amp;", encargada del proceso. ")</f>
        <v xml:space="preserve">Para la vigencia evaluada 01 de julio a 30 de septimbre de 2022, se informa que la medición se realiza de forma anual la cual se realizara para el mes de noviembre y se encuentra en proceso de elaboración por la oficina de  atención  servicio al ciudadano, encargada del proceso. </v>
      </c>
      <c r="Q131" s="11">
        <f ca="1">IFERROR(__xludf.DUMMYFUNCTION("""COMPUTED_VALUE"""),44834)</f>
        <v>44834</v>
      </c>
      <c r="R131" s="12">
        <f ca="1">IFERROR(__xludf.DUMMYFUNCTION("""COMPUTED_VALUE"""),1)</f>
        <v>1</v>
      </c>
      <c r="S131" s="10" t="str">
        <f ca="1">IFERROR(__xludf.DUMMYFUNCTION("""COMPUTED_VALUE"""),"Para la vigencia evaluada 01 de octubre a 30 de diciembre de 2022 , mediante oficio No. 64627 10 de noviembre de 2022
 Alcaldía De Pereira, se realizo encuesta de satisfacción cliente interno. por parte del Subproceso de Servicio al
 Cliente, encuesta del"&amp;" cliente interno solicitada a todos
 los funcionarios y contratistas de la administración que esta sea diligenciada .
 Anexo se adjunta el enlace de la encuesta:
 https://forms.gle/1nG5bt9ztH5CYDHL8
 Las evidencias Reposan en la oficina de servicio al ciu"&amp;"dadano por la profesional universitaria encargada del proceso")</f>
        <v>Para la vigencia evaluada 01 de octubre a 30 de diciembre de 2022 , mediante oficio No. 64627 10 de noviembre de 2022
 Alcaldía De Pereira, se realizo encuesta de satisfacción cliente interno. por parte del Subproceso de Servicio al
 Cliente, encuesta del cliente interno solicitada a todos
 los funcionarios y contratistas de la administración que esta sea diligenciada .
 Anexo se adjunta el enlace de la encuesta:
 https://forms.gle/1nG5bt9ztH5CYDHL8
 Las evidencias Reposan en la oficina de servicio al ciudadano por la profesional universitaria encargada del proceso</v>
      </c>
      <c r="T131" s="11">
        <f ca="1">IFERROR(__xludf.DUMMYFUNCTION("""COMPUTED_VALUE"""),44925)</f>
        <v>44925</v>
      </c>
      <c r="U131" s="10"/>
    </row>
    <row r="132" spans="1:21" ht="409.5" x14ac:dyDescent="0.2">
      <c r="A132" s="10" t="str">
        <f ca="1">IFERROR(__xludf.DUMMYFUNCTION("""COMPUTED_VALUE"""),"Talento Humano")</f>
        <v>Talento Humano</v>
      </c>
      <c r="B132" s="10" t="str">
        <f ca="1">IFERROR(__xludf.DUMMYFUNCTION("""COMPUTED_VALUE"""),"Gestión Estratégica del Talento Humano - Componente Planeación - Categoría Bienestar")</f>
        <v>Gestión Estratégica del Talento Humano - Componente Planeación - Categoría Bienestar</v>
      </c>
      <c r="C132" s="10" t="str">
        <f ca="1">IFERROR(__xludf.DUMMYFUNCTION("""COMPUTED_VALUE"""),"Día del Servidor Público:
 Programar actividades de capacitación y jornadas de reflexión institucional dirigidas a fortalecer el sentido de pertenencia, la eficiencia, la adecuada prestación del servicio, los valores y la ética del servicio en lo público "&amp;"y el buen gobierno. Así mismo, adelantar actividades que exalten la labor del servidor público.")</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D132" s="10" t="str">
        <f ca="1">IFERROR(__xludf.DUMMYFUNCTION("""COMPUTED_VALUE"""),"actividades en el marco del Día del Servidor Público que involucran la participación de entre el 76% y el 100% de los servidores")</f>
        <v>actividades en el marco del Día del Servidor Público que involucran la participación de entre el 76% y el 100% de los servidores</v>
      </c>
      <c r="E132" s="10" t="str">
        <f ca="1">IFERROR(__xludf.DUMMYFUNCTION("""COMPUTED_VALUE"""),"# de actividades ejecutadas/ # de Actividades programadas")</f>
        <v># de actividades ejecutadas/ # de Actividades programadas</v>
      </c>
      <c r="F132" s="11">
        <f ca="1">IFERROR(__xludf.DUMMYFUNCTION("""COMPUTED_VALUE"""),44592)</f>
        <v>44592</v>
      </c>
      <c r="G132" s="11">
        <f ca="1">IFERROR(__xludf.DUMMYFUNCTION("""COMPUTED_VALUE"""),44925)</f>
        <v>44925</v>
      </c>
      <c r="H132" s="10" t="str">
        <f ca="1">IFERROR(__xludf.DUMMYFUNCTION("""COMPUTED_VALUE"""),"Director de Talento Humano")</f>
        <v>Director de Talento Humano</v>
      </c>
      <c r="I132" s="12">
        <f ca="1">IFERROR(__xludf.DUMMYFUNCTION("""COMPUTED_VALUE"""),0.5)</f>
        <v>0.5</v>
      </c>
      <c r="J132" s="10" t="str">
        <f ca="1">IFERROR(__xludf.DUMMYFUNCTION("""COMPUTED_VALUE"""),"Para la vigencia evaluada 01 de enero a 31 de marzo a  2022, la actividad en el marco del servidor publico, se celebra una vez al año , la cual esta programada para junio/ julio 2022")</f>
        <v>Para la vigencia evaluada 01 de enero a 31 de marzo a  2022, la actividad en el marco del servidor publico, se celebra una vez al año , la cual esta programada para junio/ julio 2022</v>
      </c>
      <c r="K132" s="11">
        <f ca="1">IFERROR(__xludf.DUMMYFUNCTION("""COMPUTED_VALUE"""),44651)</f>
        <v>44651</v>
      </c>
      <c r="L132" s="12">
        <f ca="1">IFERROR(__xludf.DUMMYFUNCTION("""COMPUTED_VALUE"""),0.5)</f>
        <v>0.5</v>
      </c>
      <c r="M132" s="10" t="str">
        <f ca="1">IFERROR(__xludf.DUMMYFUNCTION("""COMPUTED_VALUE"""),"En el periodo de estudio se han ofertado y adelantado alrededor de 80 jornadas de capacitación en diferentes temas, tendientes a impactar positivamente en la eficiencia del servicio, el mejoramiento de competencia, el conocimiento de la entidad, el marco "&amp;"normativo aplicable y el amor por la entidad y el servicio público. Las actividades se han brindado gracias al apoyo de diferentes entidades como ESAP, SENA, MINTIC, DANE, ARCHIVO GENERAL DE LA NACIÓN, CNSC, COMFAMILIAR, UNIGERMANA, AGENCIA NACIONAL DE DE"&amp;"FENSA JURÍDICA DEL ESTAD, UNIVERSIDAD EXTERNADO DE COLOMBIA, UNIVERSIDAD PROTECCIÓN, MINISTERIO DEL DEPORTE,etc. ")</f>
        <v xml:space="preserve">En el periodo de estudio se han ofertado y adelantado alrededor de 80 jornadas de capacitación en diferentes temas, tendientes a impactar positivamente en la eficiencia del servicio, el mejoramiento de competencia, el conocimiento de la entidad, el marco normativo aplicable y el amor por la entidad y el servicio público. Las actividades se han brindado gracias al apoyo de diferentes entidades como ESAP, SENA, MINTIC, DANE, ARCHIVO GENERAL DE LA NACIÓN, CNSC, COMFAMILIAR, UNIGERMANA, AGENCIA NACIONAL DE DEFENSA JURÍDICA DEL ESTAD, UNIVERSIDAD EXTERNADO DE COLOMBIA, UNIVERSIDAD PROTECCIÓN, MINISTERIO DEL DEPORTE,etc. </v>
      </c>
      <c r="N132" s="11"/>
      <c r="O132" s="12">
        <f ca="1">IFERROR(__xludf.DUMMYFUNCTION("""COMPUTED_VALUE"""),0.5)</f>
        <v>0.5</v>
      </c>
      <c r="P132" s="10" t="str">
        <f ca="1">IFERROR(__xludf.DUMMYFUNCTION("""COMPUTED_VALUE"""),"Para la vigencia evaluada 01 de julio a 30 de septimbre de 2022, la actividad en el marco del servidor publico, se celebra una vez al año , la cual esta programada para Noviembre 2022")</f>
        <v>Para la vigencia evaluada 01 de julio a 30 de septimbre de 2022, la actividad en el marco del servidor publico, se celebra una vez al año , la cual esta programada para Noviembre 2022</v>
      </c>
      <c r="Q132" s="11">
        <f ca="1">IFERROR(__xludf.DUMMYFUNCTION("""COMPUTED_VALUE"""),44834)</f>
        <v>44834</v>
      </c>
      <c r="R132" s="12">
        <f ca="1">IFERROR(__xludf.DUMMYFUNCTION("""COMPUTED_VALUE"""),1)</f>
        <v>1</v>
      </c>
      <c r="S132" s="10" t="str">
        <f ca="1">IFERROR(__xludf.DUMMYFUNCTION("""COMPUTED_VALUE"""),"Para la vigencia evaluada 01 de octubre a 30 de diciembre de 2022 , Se celebro el día del servidor publico, el día 4 de noviembre del 2022, en las instalaciones del teatro Santiago Londoño, con la asistencia de 268 funcionarios, En el desarrollo de la jor"&amp;"nada se adelantaron las siguientes actividades: Minuto de silencio por aquellos servidores públicos de nuestra administración que han fallecido este año.
 Intervención del Dr. Frederman Alexander Agudelo Espinosa, Abogado de la Dirección Técnica de Audito"&amp;"ria de la Contraloría Municipal con el TEMA: “El código de Integridad desde el Rol del Control Fiscal”.
 Lectura de la Resolución por medio de la cual se hace un reconocimiento a los funcionarios públicos por quinquenios de servicios prestados al municipi"&amp;"o de Pereira, nivel Central, en la vigencia 2022.
 Entrega de reconocimientos y obsequios.
 Presentación de trova con la participación de la Secretaria de Cultura Municipal.
 Presentación de Teatro a cargo de TROPA TEATRO titulada Quijote “Espejo del Homb"&amp;"re”. 
 Invitación a los funcionarios a las estaciones de comida. Las evidencias Reposan en la técnico administrativo de la Dirección de Talento Humano encargada del proceso, en el correo institucional pic@pereira.gov.co")</f>
        <v>Para la vigencia evaluada 01 de octubre a 30 de diciembre de 2022 , Se celebro el día del servidor publico, el día 4 de noviembre del 2022, en las instalaciones del teatro Santiago Londoño, con la asistencia de 268 funcionarios, En el desarrollo de la jornada se adelantaron las siguientes actividades: Minuto de silencio por aquellos servidores públicos de nuestra administración que han fallecido este año.
 Intervención del Dr. Frederman Alexander Agudelo Espinosa, Abogado de la Dirección Técnica de Auditoria de la Contraloría Municipal con el TEMA: “El código de Integridad desde el Rol del Control Fiscal”.
 Lectura de la Resolución por medio de la cual se hace un reconocimiento a los funcionarios públicos por quinquenios de servicios prestados al municipio de Pereira, nivel Central, en la vigencia 2022.
 Entrega de reconocimientos y obsequios.
 Presentación de trova con la participación de la Secretaria de Cultura Municipal.
 Presentación de Teatro a cargo de TROPA TEATRO titulada Quijote “Espejo del Hombre”. 
 Invitación a los funcionarios a las estaciones de comida. Las evidencias Reposan en la técnico administrativo de la Dirección de Talento Humano encargada del proceso, en el correo institucional pic@pereira.gov.co</v>
      </c>
      <c r="T132" s="11">
        <f ca="1">IFERROR(__xludf.DUMMYFUNCTION("""COMPUTED_VALUE"""),44925)</f>
        <v>44925</v>
      </c>
      <c r="U132" s="10"/>
    </row>
    <row r="133" spans="1:21" ht="409.5" x14ac:dyDescent="0.2">
      <c r="A133" s="10" t="str">
        <f ca="1">IFERROR(__xludf.DUMMYFUNCTION("""COMPUTED_VALUE"""),"Talento Humano")</f>
        <v>Talento Humano</v>
      </c>
      <c r="B133" s="10" t="str">
        <f ca="1">IFERROR(__xludf.DUMMYFUNCTION("""COMPUTED_VALUE"""),"Gestión Estratégica del Talento Humano - Componente Planeación - Categoría Clima Organizacional y Cambio Cultural")</f>
        <v>Gestión Estratégica del Talento Humano - Componente Planeación - Categoría Clima Organizacional y Cambio Cultural</v>
      </c>
      <c r="C133" s="10" t="str">
        <f ca="1">IFERROR(__xludf.DUMMYFUNCTION("""COMPUTED_VALUE"""),"Establecer las prioridades en las situaciones que atenten o lesionen la moralidad, incluyendo actividades pedagógicas e informativas sobre temas asociados con la integridad, los deberes y las responsabilidades en la función pública, generando un cambio cu"&amp;"ltural")</f>
        <v>Establecer las prioridades en las situaciones que atenten o lesionen la moralidad, incluyendo actividades pedagógicas e informativas sobre temas asociados con la integridad, los deberes y las responsabilidades en la función pública, generando un cambio cultural</v>
      </c>
      <c r="D133" s="10" t="str">
        <f ca="1">IFERROR(__xludf.DUMMYFUNCTION("""COMPUTED_VALUE"""),"Acciones pedagógicas e informativas y uso de la infraestructura de integridad institucional (códigos, comités, canales de denuncia y seguimiento)")</f>
        <v>Acciones pedagógicas e informativas y uso de la infraestructura de integridad institucional (códigos, comités, canales de denuncia y seguimiento)</v>
      </c>
      <c r="E133" s="10" t="str">
        <f ca="1">IFERROR(__xludf.DUMMYFUNCTION("""COMPUTED_VALUE"""),"2 campañas pedagógicas e informativas sobre los temas asociados con la integridad, los deberes y las responsabilidades, asociadas con la integridad")</f>
        <v>2 campañas pedagógicas e informativas sobre los temas asociados con la integridad, los deberes y las responsabilidades, asociadas con la integridad</v>
      </c>
      <c r="F133" s="11">
        <f ca="1">IFERROR(__xludf.DUMMYFUNCTION("""COMPUTED_VALUE"""),44592)</f>
        <v>44592</v>
      </c>
      <c r="G133" s="11">
        <f ca="1">IFERROR(__xludf.DUMMYFUNCTION("""COMPUTED_VALUE"""),44925)</f>
        <v>44925</v>
      </c>
      <c r="H133" s="10" t="str">
        <f ca="1">IFERROR(__xludf.DUMMYFUNCTION("""COMPUTED_VALUE"""),"Director de Talento Humano")</f>
        <v>Director de Talento Humano</v>
      </c>
      <c r="I133" s="12">
        <f ca="1">IFERROR(__xludf.DUMMYFUNCTION("""COMPUTED_VALUE"""),0.7)</f>
        <v>0.7</v>
      </c>
      <c r="J133" s="10" t="str">
        <f ca="1">IFERROR(__xludf.DUMMYFUNCTION("""COMPUTED_VALUE"""),"Para la vigencia evaluada 01 de enero a 31 de marzo a  2022,  se inicio con la  Sensibilización sobre cambio cultura orientado a la transparencia, legalidad  a la integridad en el ejercicio de las funciones , solicitudes del curso https://www.funcionpubli"&amp;"ca.gov.co/web/eva/cursointegridad  Se participo de la capacitación, virtual  de función publica, como acción pedagógica. a su vez para los contratistas vinculados fue requisito el curso de integridad, y anexado a sus hojas de vida, las cuales están en cad"&amp;"a oficina encargada de la contratación ")</f>
        <v xml:space="preserve">Para la vigencia evaluada 01 de enero a 31 de marzo a  2022,  se inicio con la  Sensibilización sobre cambio cultura orientado a la transparencia, legalidad  a la integridad en el ejercicio de las funciones , solicitudes del curso https://www.funcionpublica.gov.co/web/eva/cursointegridad  Se participo de la capacitación, virtual  de función publica, como acción pedagógica. a su vez para los contratistas vinculados fue requisito el curso de integridad, y anexado a sus hojas de vida, las cuales están en cada oficina encargada de la contratación </v>
      </c>
      <c r="K133" s="11">
        <f ca="1">IFERROR(__xludf.DUMMYFUNCTION("""COMPUTED_VALUE"""),44651)</f>
        <v>44651</v>
      </c>
      <c r="L133" s="12">
        <f ca="1">IFERROR(__xludf.DUMMYFUNCTION("""COMPUTED_VALUE"""),0.75)</f>
        <v>0.75</v>
      </c>
      <c r="M133" s="10" t="str">
        <f ca="1">IFERROR(__xludf.DUMMYFUNCTION("""COMPUTED_VALUE"""),"Para la vigencia evaluada 30 de marzo a 30 de junio de 2022, se inicio con la  Sensibilización sobre cambio cultura orientado a la transparencia, legalidad  a la integridad en el ejercicio de las funciones, como acción pedagógica, se realizaron 2 piezas p"&amp;"ublicitarias que se evidenciaron en el carrusel de SAIA entre el mes de mayo hasta el 30 de junio del 2022")</f>
        <v>Para la vigencia evaluada 30 de marzo a 30 de junio de 2022, se inicio con la  Sensibilización sobre cambio cultura orientado a la transparencia, legalidad  a la integridad en el ejercicio de las funciones, como acción pedagógica, se realizaron 2 piezas publicitarias que se evidenciaron en el carrusel de SAIA entre el mes de mayo hasta el 30 de junio del 2022</v>
      </c>
      <c r="N133" s="11"/>
      <c r="O133" s="12">
        <f ca="1">IFERROR(__xludf.DUMMYFUNCTION("""COMPUTED_VALUE"""),0.8)</f>
        <v>0.8</v>
      </c>
      <c r="P133" s="10" t="str">
        <f ca="1">IFERROR(__xludf.DUMMYFUNCTION("""COMPUTED_VALUE"""),"Para la vigencia evaluada 01 de julio a 30 de septimbre de 2022, se dio continuidad a la  Sensibilización sobre cambio cultura orientado a la transparencia, legalidad  a la integridad en el ejercicio de las funciones, como acción pedagógica, se realizo 1 "&amp;"pieza publicitariaque se evidenciaron en el carrusel de SAIA entre el mes de julio hasta el 30 de septimbre del 2022")</f>
        <v>Para la vigencia evaluada 01 de julio a 30 de septimbre de 2022, se dio continuidad a la  Sensibilización sobre cambio cultura orientado a la transparencia, legalidad  a la integridad en el ejercicio de las funciones, como acción pedagógica, se realizo 1 pieza publicitariaque se evidenciaron en el carrusel de SAIA entre el mes de julio hasta el 30 de septimbre del 2022</v>
      </c>
      <c r="Q133" s="11">
        <f ca="1">IFERROR(__xludf.DUMMYFUNCTION("""COMPUTED_VALUE"""),44834)</f>
        <v>44834</v>
      </c>
      <c r="R133" s="12">
        <f ca="1">IFERROR(__xludf.DUMMYFUNCTION("""COMPUTED_VALUE"""),1)</f>
        <v>1</v>
      </c>
      <c r="S133" s="10" t="str">
        <f ca="1">IFERROR(__xludf.DUMMYFUNCTION("""COMPUTED_VALUE"""),"Para la vigencia evaluada 01 de octubre a 30 de diciembre de 2022 , se dio continuidad a la Sensibilización sobre cambio cultura orientado a la transparencia, legalidad a la integridad en el ejercicio de las funciones, como acción pedagógica, se realizo 1"&amp;" pieza publicitaria que se evidenciaron en el carrusel de SAIA entre el mes de octubre hasta el 30 de diciembre del 2022, en el marco de la celebración del servidor publico se realizo actividad Intervención del Dr. Frederman Alexander Agudelo Espinosa, Ab"&amp;"ogado de la Dirección Técnica de Auditoria de la Contraloría Municipal con el TEMA: “El código de Integridad desde el Rol del Control Fiscal”.")</f>
        <v>Para la vigencia evaluada 01 de octubre a 30 de diciembre de 2022 , se dio continuidad a la Sensibilización sobre cambio cultura orientado a la transparencia, legalidad a la integridad en el ejercicio de las funciones, como acción pedagógica, se realizo 1 pieza publicitaria que se evidenciaron en el carrusel de SAIA entre el mes de octubre hasta el 30 de diciembre del 2022, en el marco de la celebración del servidor publico se realizo actividad Intervención del Dr. Frederman Alexander Agudelo Espinosa, Abogado de la Dirección Técnica de Auditoria de la Contraloría Municipal con el TEMA: “El código de Integridad desde el Rol del Control Fiscal”.</v>
      </c>
      <c r="T133" s="11">
        <f ca="1">IFERROR(__xludf.DUMMYFUNCTION("""COMPUTED_VALUE"""),44925)</f>
        <v>44925</v>
      </c>
      <c r="U133" s="10"/>
    </row>
    <row r="134" spans="1:21" ht="409.5" x14ac:dyDescent="0.2">
      <c r="A134" s="10" t="str">
        <f ca="1">IFERROR(__xludf.DUMMYFUNCTION("""COMPUTED_VALUE"""),"Talento Humano")</f>
        <v>Talento Humano</v>
      </c>
      <c r="B134" s="10" t="str">
        <f ca="1">IFERROR(__xludf.DUMMYFUNCTION("""COMPUTED_VALUE"""),"Gestión Estratégica del Talento Humano - Componente Planeación - Categoría Seguridad y Salud en el Trabajo")</f>
        <v>Gestión Estratégica del Talento Humano - Componente Planeación - Categoría Seguridad y Salud en el Trabajo</v>
      </c>
      <c r="C134" s="10" t="str">
        <f ca="1">IFERROR(__xludf.DUMMYFUNCTION("""COMPUTED_VALUE"""),"Se establecen disposiciones y se definen responsabilidades para la identificación, evaluación, prevención, intervención y monitoreo permanente de la exposición a factores de riesgo psicosocial en el trabajo y para la determinación del origen de las patolo"&amp;"gías causadas por el estrés ocupacional.")</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D134" s="10" t="str">
        <f ca="1">IFERROR(__xludf.DUMMYFUNCTION("""COMPUTED_VALUE"""),"Se realiza intervención a los factores de riesgo psicosocial")</f>
        <v>Se realiza intervención a los factores de riesgo psicosocial</v>
      </c>
      <c r="E134" s="10" t="str">
        <f ca="1">IFERROR(__xludf.DUMMYFUNCTION("""COMPUTED_VALUE"""),"# de intervenciones a los factores de riesgo psicosocial realizadas / # de intervenciones a los factores de riesgo psicosocial programas")</f>
        <v># de intervenciones a los factores de riesgo psicosocial realizadas / # de intervenciones a los factores de riesgo psicosocial programas</v>
      </c>
      <c r="F134" s="11">
        <f ca="1">IFERROR(__xludf.DUMMYFUNCTION("""COMPUTED_VALUE"""),44592)</f>
        <v>44592</v>
      </c>
      <c r="G134" s="11">
        <f ca="1">IFERROR(__xludf.DUMMYFUNCTION("""COMPUTED_VALUE"""),44925)</f>
        <v>44925</v>
      </c>
      <c r="H134" s="10" t="str">
        <f ca="1">IFERROR(__xludf.DUMMYFUNCTION("""COMPUTED_VALUE"""),"Director de Talento Humano")</f>
        <v>Director de Talento Humano</v>
      </c>
      <c r="I134" s="12">
        <f ca="1">IFERROR(__xludf.DUMMYFUNCTION("""COMPUTED_VALUE"""),0.65)</f>
        <v>0.65</v>
      </c>
      <c r="J134" s="10" t="str">
        <f ca="1">IFERROR(__xludf.DUMMYFUNCTION("""COMPUTED_VALUE"""),"Para la vigencia evaluada 01 de enero a 31 de marzo a  2022,  se cumple con la   Implementación de estándares mínimos del Sistema de Gestión de Seguridad y Salud en el Trabajo SG – SST las evidencias se encuentran  de Seguridad y Salud en el Trabajo ")</f>
        <v xml:space="preserve">Para la vigencia evaluada 01 de enero a 31 de marzo a  2022,  se cumple con la   Implementación de estándares mínimos del Sistema de Gestión de Seguridad y Salud en el Trabajo SG – SST las evidencias se encuentran  de Seguridad y Salud en el Trabajo </v>
      </c>
      <c r="K134" s="11">
        <f ca="1">IFERROR(__xludf.DUMMYFUNCTION("""COMPUTED_VALUE"""),44651)</f>
        <v>44651</v>
      </c>
      <c r="L134" s="12">
        <f ca="1">IFERROR(__xludf.DUMMYFUNCTION("""COMPUTED_VALUE"""),0.75)</f>
        <v>0.75</v>
      </c>
      <c r="M134" s="10" t="str">
        <f ca="1">IFERROR(__xludf.DUMMYFUNCTION("""COMPUTED_VALUE"""),"Para la vigencia evaluada 30 de marzo a 30 de junio de 2022, Se tiene implementado el sistema de vigilancia epidemiológico de riesgo psicosocial liderado por la psicóloga contratada por el Municipio y en asesoría técnica de  las psicólogas de la ARL Colme"&amp;"na. Se realiza atención psicológica individual y capacitaciones colectivas de acuerdo a la identificación del riesgo en la población.
Así mismo se encuentra en desarrollo la formación de Gestores en Salud Mental que tiene como fin abordar temas trazadore"&amp;"s en Salud Mental, para desarrollar y fortalecer habilidades personales y colectivas. Esta formación tiene una duración de 6 encuentros. (Circular 121 de Abril 11).
Se han realizado capacitaciones en autoconocimiento y regulación emocional para Comisarios"&amp;", Inspectores y Corregidores.
Realización de jornadas de sensibilización frente a la Ley 1010 de Acoso Laboral en las diferentes Secretarías, con la entrega de folletos informativos relacionados con el tema y para la disminución de riesgo psicosocial se r"&amp;"ealizaron actividades relacionadas con higiene del sueño (estilos de vida saludables y manejo efectivo del estrés), habilidades para la comunicación efectiva, entre otros.
Para el segundo semestre se realizarán las siguientes actividades: 
Gestión del pro"&amp;"grama de Pre-pensionados con un abordaje desde el enfoque biopsicosocial.
Asesoría técnica y desarrollo de subprogramas de Salud Mental y Prevención de Adicciones.
Capacitación y acompañamiento al Comité de Convivencia laboral.
")</f>
        <v xml:space="preserve">Para la vigencia evaluada 30 de marzo a 30 de junio de 2022, Se tiene implementado el sistema de vigilancia epidemiológico de riesgo psicosocial liderado por la psicóloga contratada por el Municipio y en asesoría técnica de  las psicólogas de la ARL Colmena. Se realiza atención psicológica individual y capacitaciones colectivas de acuerdo a la identificación del riesgo en la población.
Así mismo se encuentra en desarrollo la formación de Gestores en Salud Mental que tiene como fin abordar temas trazadores en Salud Mental, para desarrollar y fortalecer habilidades personales y colectivas. Esta formación tiene una duración de 6 encuentros. (Circular 121 de Abril 11).
Se han realizado capacitaciones en autoconocimiento y regulación emocional para Comisarios, Inspectores y Corregidores.
Realización de jornadas de sensibilización frente a la Ley 1010 de Acoso Laboral en las diferentes Secretarías, con la entrega de folletos informativos relacionados con el tema y para la disminución de riesgo psicosocial se realizaron actividades relacionadas con higiene del sueño (estilos de vida saludables y manejo efectivo del estrés), habilidades para la comunicación efectiva, entre otros.
Para el segundo semestre se realizarán las siguientes actividades: 
Gestión del programa de Pre-pensionados con un abordaje desde el enfoque biopsicosocial.
Asesoría técnica y desarrollo de subprogramas de Salud Mental y Prevención de Adicciones.
Capacitación y acompañamiento al Comité de Convivencia laboral.
</v>
      </c>
      <c r="N134" s="11"/>
      <c r="O134" s="12">
        <f ca="1">IFERROR(__xludf.DUMMYFUNCTION("""COMPUTED_VALUE"""),0.85)</f>
        <v>0.85</v>
      </c>
      <c r="P134" s="10" t="str">
        <f ca="1">IFERROR(__xludf.DUMMYFUNCTION("""COMPUTED_VALUE"""),"Se tiene implementado el sistema de vigilancia epidemiológico de riesgo psicosocial liderado por la psicóloga contratada por el Municipio y en asesoría técnica de  las psicólogas de la ARL Colmena. Se realiza atención psicológica individual y capacitacion"&amp;"es colectivas de acuerdo a la identificación del riesgo en la población.
Así mismo se encuentra en desarrollo la formación de Gestores en Salud Mental que tiene como fin abordar temas trazadores en Salud Mental, para desarrollar y fortalecer habilidades p"&amp;"ersonales y colectivas. Esta formación tiene una duración de 6 encuentros. (Circular 121 de Abril 11).
Se han realizado capacitaciones en autoconocimiento y regulación emocional para Comisarios, Inspectores y Corregidores.
Gestión del programa de Pre-pens"&amp;"ionados con un abordaje desde el enfoque biopsicosocial.
Asesoría técnica y desarrollo de subprogramas de Salud Mental y Prevención de Adicciones.
Capacitación y acompañamiento al Comité de Convivencia laboral. las evidencias reposan en la oficina de SST")</f>
        <v>Se tiene implementado el sistema de vigilancia epidemiológico de riesgo psicosocial liderado por la psicóloga contratada por el Municipio y en asesoría técnica de  las psicólogas de la ARL Colmena. Se realiza atención psicológica individual y capacitaciones colectivas de acuerdo a la identificación del riesgo en la población.
Así mismo se encuentra en desarrollo la formación de Gestores en Salud Mental que tiene como fin abordar temas trazadores en Salud Mental, para desarrollar y fortalecer habilidades personales y colectivas. Esta formación tiene una duración de 6 encuentros. (Circular 121 de Abril 11).
Se han realizado capacitaciones en autoconocimiento y regulación emocional para Comisarios, Inspectores y Corregidores.
Gestión del programa de Pre-pensionados con un abordaje desde el enfoque biopsicosocial.
Asesoría técnica y desarrollo de subprogramas de Salud Mental y Prevención de Adicciones.
Capacitación y acompañamiento al Comité de Convivencia laboral. las evidencias reposan en la oficina de SST</v>
      </c>
      <c r="Q134" s="11">
        <f ca="1">IFERROR(__xludf.DUMMYFUNCTION("""COMPUTED_VALUE"""),44834)</f>
        <v>44834</v>
      </c>
      <c r="R134" s="12">
        <f ca="1">IFERROR(__xludf.DUMMYFUNCTION("""COMPUTED_VALUE"""),0.95)</f>
        <v>0.95</v>
      </c>
      <c r="S134" s="10" t="str">
        <f ca="1">IFERROR(__xludf.DUMMYFUNCTION("""COMPUTED_VALUE"""),"Para la vigencia evaluada 01 de octubre a 30 de diciembre de 2022 , Se tiene implementado el sistema de vigilancia epidemiológico de riesgo psicosocial liderado por la psicóloga contratada por el Municipio y en asesoría técnica de las psicólogas de la ARL"&amp;" Colmena. Se realiza atención psicológica individual y capacitaciones colectivas de acuerdo a la identificación del riesgo en la población.
 Así mismo se encuentra en desarrollo la formación de Gestores en Salud Mental que tiene como fin abordar temas tra"&amp;"zadores en Salud Mental, para desarrollar y fortalecer habilidades personales y colectivas. 
 Se han realizado capacitaciones en autoconocimiento y regulación emocional para Comisarios, Inspectores y Corregidores.
 Gestión del programa de Pre-pensionados "&amp;"con un abordaje desde el enfoque biopsicosocial.
 Asesoría técnica y desarrollo de subprogramas de Salud Mental y Prevención de Adicciones.
 Capacitación y acompañamiento al Comité de Convivencia laboral. Las evidencias Reposan en la oficina de S.S.T. por"&amp;" la profesional universitaria encargada del proceso")</f>
        <v>Para la vigencia evaluada 01 de octubre a 30 de diciembre de 2022 , Se tiene implementado el sistema de vigilancia epidemiológico de riesgo psicosocial liderado por la psicóloga contratada por el Municipio y en asesoría técnica de las psicólogas de la ARL Colmena. Se realiza atención psicológica individual y capacitaciones colectivas de acuerdo a la identificación del riesgo en la población.
 Así mismo se encuentra en desarrollo la formación de Gestores en Salud Mental que tiene como fin abordar temas trazadores en Salud Mental, para desarrollar y fortalecer habilidades personales y colectivas. 
 Se han realizado capacitaciones en autoconocimiento y regulación emocional para Comisarios, Inspectores y Corregidores.
 Gestión del programa de Pre-pensionados con un abordaje desde el enfoque biopsicosocial.
 Asesoría técnica y desarrollo de subprogramas de Salud Mental y Prevención de Adicciones.
 Capacitación y acompañamiento al Comité de Convivencia laboral. Las evidencias Reposan en la oficina de S.S.T. por la profesional universitaria encargada del proceso</v>
      </c>
      <c r="T134" s="11">
        <f ca="1">IFERROR(__xludf.DUMMYFUNCTION("""COMPUTED_VALUE"""),44925)</f>
        <v>44925</v>
      </c>
      <c r="U134" s="10"/>
    </row>
    <row r="135" spans="1:21" ht="409.5" x14ac:dyDescent="0.2">
      <c r="A135" s="10" t="str">
        <f ca="1">IFERROR(__xludf.DUMMYFUNCTION("""COMPUTED_VALUE"""),"Talento Humano")</f>
        <v>Talento Humano</v>
      </c>
      <c r="B135" s="10" t="str">
        <f ca="1">IFERROR(__xludf.DUMMYFUNCTION("""COMPUTED_VALUE"""),"Gestión Estratégica del Talento Humano - Componente Planeación - Categoría Gestión del Conocimiento")</f>
        <v>Gestión Estratégica del Talento Humano - Componente Planeación - Categoría Gestión del Conocimiento</v>
      </c>
      <c r="C135" s="10" t="str">
        <f ca="1">IFERROR(__xludf.DUMMYFUNCTION("""COMPUTED_VALUE"""),"Contar con mecanismos para transferir el conocimiento de los servidores que se retiran de la Entidad a quienes continúan vinculados")</f>
        <v>Contar con mecanismos para transferir el conocimiento de los servidores que se retiran de la Entidad a quienes continúan vinculados</v>
      </c>
      <c r="D135" s="10" t="str">
        <f ca="1">IFERROR(__xludf.DUMMYFUNCTION("""COMPUTED_VALUE"""),"implementar mecanismos para gestionar el conocimiento que dejan los servidores que se desvinculan con la totalidad de las personas que se retiran")</f>
        <v>implementar mecanismos para gestionar el conocimiento que dejan los servidores que se desvinculan con la totalidad de las personas que se retiran</v>
      </c>
      <c r="E135" s="10" t="str">
        <f ca="1">IFERROR(__xludf.DUMMYFUNCTION("""COMPUTED_VALUE"""),"# de métodos implementados y evaluados /No de métodos identificados o diseñados para transferir el conocimiento de los servidores que se retiran de la Entidad a quienes continúan vinculados")</f>
        <v># de métodos implementados y evaluados /No de métodos identificados o diseñados para transferir el conocimiento de los servidores que se retiran de la Entidad a quienes continúan vinculados</v>
      </c>
      <c r="F135" s="11">
        <f ca="1">IFERROR(__xludf.DUMMYFUNCTION("""COMPUTED_VALUE"""),44592)</f>
        <v>44592</v>
      </c>
      <c r="G135" s="11">
        <f ca="1">IFERROR(__xludf.DUMMYFUNCTION("""COMPUTED_VALUE"""),44925)</f>
        <v>44925</v>
      </c>
      <c r="H135" s="10" t="str">
        <f ca="1">IFERROR(__xludf.DUMMYFUNCTION("""COMPUTED_VALUE"""),"Director de Talento Humano")</f>
        <v>Director de Talento Humano</v>
      </c>
      <c r="I135" s="12">
        <f ca="1">IFERROR(__xludf.DUMMYFUNCTION("""COMPUTED_VALUE"""),0.65)</f>
        <v>0.65</v>
      </c>
      <c r="J135" s="10" t="str">
        <f ca="1">IFERROR(__xludf.DUMMYFUNCTION("""COMPUTED_VALUE"""),"Para la vigencia evaluada 01 de enero a 31 de marzo a  2022,  se cuenta con el acta elaborada de las personas que se han retirado de la Entidad en la vigencia evaluada, la evidencia se encuentra en cada hoja de vida de los funcionarios retirados, por ser "&amp;"información personal, esta se debe de verificar en Historia laboral, no se puede enviar reporte de hoja de vida de funcionarios ")</f>
        <v xml:space="preserve">Para la vigencia evaluada 01 de enero a 31 de marzo a  2022,  se cuenta con el acta elaborada de las personas que se han retirado de la Entidad en la vigencia evaluada, la evidencia se encuentra en cada hoja de vida de los funcionarios retirados, por ser información personal, esta se debe de verificar en Historia laboral, no se puede enviar reporte de hoja de vida de funcionarios </v>
      </c>
      <c r="K135" s="11">
        <f ca="1">IFERROR(__xludf.DUMMYFUNCTION("""COMPUTED_VALUE"""),44651)</f>
        <v>44651</v>
      </c>
      <c r="L135" s="12">
        <f ca="1">IFERROR(__xludf.DUMMYFUNCTION("""COMPUTED_VALUE"""),0.8)</f>
        <v>0.8</v>
      </c>
      <c r="M135" s="10" t="str">
        <f ca="1">IFERROR(__xludf.DUMMYFUNCTION("""COMPUTED_VALUE"""),"Para la vigencia evaluada 30 de marzo a 30 de junio de 2022, Se tiene adoptados dos procesos: 
El primero, el acta de entrega del cargo a través del cual los funcionarios de Nivel Directivo, Nivel Asesor, Nivel Profesional, Nivel Técnico y Nivel Asistenc"&amp;"ial, están en la obligación de diligenciar el formato adoptado cuando se presenta alguna situación administrativa como: (Vacaciones, Incapacidad, Permiso, Licencia, En comisión, por Pensión, Traslado, Desvinculación, Suspensión o En cargo). Este formato s"&amp;"e encuentra cargado en la plataforma de gestión documental SAIA a través de la siguiente ruta: SIG/Formatos de uso general/formatos de uso general/formatos/Acta de Entrega. 
El segundo, es el cumplimiento de la Ley 951 de marzo de 31 de 2005, “por la cua"&amp;"l se crea el acta de informe de gestión.”, donde los servidores públicos que actúan como titulares y representantes legales, para nuestro caso (Alcalde y Secretarios de Despacho), están obligados al separarse de sus cargos o al finalizar la administración"&amp;", según el caso, un informe a quienes los sustituyan legalmente en sus funciones, de los asuntos de su competencia, así como de la gestión de los recursos financieros, humanos y administrativos que tuvieron asignados para el ejercicio de sus funciones.”
"&amp;"La evidencia se encuentra en cada Historia Laboral de los funcionarios 
Adicionalmente en los actos administrativos se deja claridad de la obligatoriedad de cada funcionario de realizar el acta de entrega del cargo")</f>
        <v>Para la vigencia evaluada 30 de marzo a 30 de junio de 2022, Se tiene adoptados dos procesos: 
El primero, el acta de entrega del cargo a través del cual los funcionarios de Nivel Directivo, Nivel Asesor, Nivel Profesional, Nivel Técnico y Nivel Asistencial, están en la obligación de diligenciar el formato adoptado cuando se presenta alguna situación administrativa como: (Vacaciones, Incapacidad, Permiso, Licencia, En comisión, por Pensión, Traslado, Desvinculación, Suspensión o En cargo). Este formato se encuentra cargado en la plataforma de gestión documental SAIA a través de la siguiente ruta: SIG/Formatos de uso general/formatos de uso general/formatos/Acta de Entrega. 
El segundo, es el cumplimiento de la Ley 951 de marzo de 31 de 2005, “por la cual se crea el acta de informe de gestión.”, donde los servidores públicos que actúan como titulares y representantes legales, para nuestro caso (Alcalde y Secretarios de Despacho), están obligados al separarse de sus cargos o al finalizar la administración, según el caso, un informe a quienes los sustituyan legalmente en sus funciones, de los asuntos de su competencia, así como de la gestión de los recursos financieros, humanos y administrativos que tuvieron asignados para el ejercicio de sus funciones.”
La evidencia se encuentra en cada Historia Laboral de los funcionarios 
Adicionalmente en los actos administrativos se deja claridad de la obligatoriedad de cada funcionario de realizar el acta de entrega del cargo</v>
      </c>
      <c r="N135" s="11"/>
      <c r="O135" s="12">
        <f ca="1">IFERROR(__xludf.DUMMYFUNCTION("""COMPUTED_VALUE"""),0.8)</f>
        <v>0.8</v>
      </c>
      <c r="P135" s="10" t="str">
        <f ca="1">IFERROR(__xludf.DUMMYFUNCTION("""COMPUTED_VALUE"""),"Para la vigencia evaluada 01 de julio a 30 de septimbre de 2022, Se tiene adoptados y se da continuidad a los dos procesos: 
El primero, el acta de entrega del cargo a través del cual los funcionarios de Nivel Directivo, Nivel Asesor, Nivel Profesional, "&amp;"Nivel Técnico y Nivel Asistencial, están en la obligación de diligenciar el formato adoptado cuando se presenta alguna situación administrativa como: (Vacaciones, Incapacidad, Permiso, Licencia, En comisión, por Pensión, Traslado, Desvinculación, Suspensi"&amp;"ón o En cargo). Este formato se encuentra cargado en la plataforma de gestión documental SAIA a través de la siguiente ruta: SIG/Formatos de uso general/formatos de uso general/formatos/Acta de Entrega. 
El segundo, es el cumplimiento de la Ley 951 de ma"&amp;"rzo de 31 de 2005, “por la cual se crea el acta de informe de gestión.”, donde los servidores públicos que actúan como titulares y representantes legales, para nuestro caso (Alcalde y Secretarios de Despacho), están obligados al separarse de sus cargos o "&amp;"al finalizar la administración, según el caso, un informe a quienes los sustituyan legalmente en sus funciones, de los asuntos de su competencia, así como de la gestión de los recursos financieros, humanos y administrativos que tuvieron asignados para el "&amp;"ejercicio de sus funciones.”
La evidencia se encuentra en cada Historia Laboral de los funcionarios 
Adicionalmente en los actos administrativos se deja claridad de la obligatoriedad de cada funcionario de realizar el acta de entrega del cargo")</f>
        <v>Para la vigencia evaluada 01 de julio a 30 de septimbre de 2022, Se tiene adoptados y se da continuidad a los dos procesos: 
El primero, el acta de entrega del cargo a través del cual los funcionarios de Nivel Directivo, Nivel Asesor, Nivel Profesional, Nivel Técnico y Nivel Asistencial, están en la obligación de diligenciar el formato adoptado cuando se presenta alguna situación administrativa como: (Vacaciones, Incapacidad, Permiso, Licencia, En comisión, por Pensión, Traslado, Desvinculación, Suspensión o En cargo). Este formato se encuentra cargado en la plataforma de gestión documental SAIA a través de la siguiente ruta: SIG/Formatos de uso general/formatos de uso general/formatos/Acta de Entrega. 
El segundo, es el cumplimiento de la Ley 951 de marzo de 31 de 2005, “por la cual se crea el acta de informe de gestión.”, donde los servidores públicos que actúan como titulares y representantes legales, para nuestro caso (Alcalde y Secretarios de Despacho), están obligados al separarse de sus cargos o al finalizar la administración, según el caso, un informe a quienes los sustituyan legalmente en sus funciones, de los asuntos de su competencia, así como de la gestión de los recursos financieros, humanos y administrativos que tuvieron asignados para el ejercicio de sus funciones.”
La evidencia se encuentra en cada Historia Laboral de los funcionarios 
Adicionalmente en los actos administrativos se deja claridad de la obligatoriedad de cada funcionario de realizar el acta de entrega del cargo</v>
      </c>
      <c r="Q135" s="11">
        <f ca="1">IFERROR(__xludf.DUMMYFUNCTION("""COMPUTED_VALUE"""),44834)</f>
        <v>44834</v>
      </c>
      <c r="R135" s="12">
        <f ca="1">IFERROR(__xludf.DUMMYFUNCTION("""COMPUTED_VALUE"""),0.9)</f>
        <v>0.9</v>
      </c>
      <c r="S135" s="10" t="str">
        <f ca="1">IFERROR(__xludf.DUMMYFUNCTION("""COMPUTED_VALUE"""),"Para la vigencia evaluada 01 de octubre a 30 de diciembre de 2022 , Se tiene adoptados y se da continuidad a los dos procesos: 
 El primero, el acta de entrega del cargo a través del cual los funcionarios de Nivel Directivo, Nivel Asesor, Nivel Profesiona"&amp;"l, Nivel Técnico y Nivel Asistencial, están en la obligación de diligenciar el formato adoptado cuando se presenta alguna situación administrativa como: (Vacaciones, Incapacidad, Permiso, Licencia, En comisión, por Pensión, Traslado, Desvinculación, Suspe"&amp;"nsión o En cargo). Este formato se encuentra cargado en la plataforma de gestión documental SAIA a través de la siguiente ruta: SIG/Formatos de uso general/formatos de uso general/formatos/Acta de Entrega. 
 El segundo, es el cumplimiento de la Ley 951 "&amp;"de marzo de 31 de 2005, “por la cual se crea el acta de informe de gestión.”, donde los servidores públicos que actúan como titulares y representantes legales, para nuestro caso (Alcalde y Secretarios de Despacho), están obligados al separarse de sus carg"&amp;"os o al finalizar la administración, según el caso, un informe a quienes los sustituyan legalmente en sus funciones, de los asuntos de su competencia, así como de la gestión de los recursos financieros, humanos y administrativos que tuvieron asignados par"&amp;"a el ejercicio de sus funciones.”
 La evidencia se encuentra en cada Historia Laboral de los funcionarios 
 Adicionalmente en los actos administrativos se deja claridad de la obligatoriedad de cada funcionario de realizar el acta de entrega del cargo")</f>
        <v>Para la vigencia evaluada 01 de octubre a 30 de diciembre de 2022 , Se tiene adoptados y se da continuidad a los dos procesos: 
 El primero, el acta de entrega del cargo a través del cual los funcionarios de Nivel Directivo, Nivel Asesor, Nivel Profesional, Nivel Técnico y Nivel Asistencial, están en la obligación de diligenciar el formato adoptado cuando se presenta alguna situación administrativa como: (Vacaciones, Incapacidad, Permiso, Licencia, En comisión, por Pensión, Traslado, Desvinculación, Suspensión o En cargo). Este formato se encuentra cargado en la plataforma de gestión documental SAIA a través de la siguiente ruta: SIG/Formatos de uso general/formatos de uso general/formatos/Acta de Entrega. 
 El segundo, es el cumplimiento de la Ley 951 de marzo de 31 de 2005, “por la cual se crea el acta de informe de gestión.”, donde los servidores públicos que actúan como titulares y representantes legales, para nuestro caso (Alcalde y Secretarios de Despacho), están obligados al separarse de sus cargos o al finalizar la administración, según el caso, un informe a quienes los sustituyan legalmente en sus funciones, de los asuntos de su competencia, así como de la gestión de los recursos financieros, humanos y administrativos que tuvieron asignados para el ejercicio de sus funciones.”
 La evidencia se encuentra en cada Historia Laboral de los funcionarios 
 Adicionalmente en los actos administrativos se deja claridad de la obligatoriedad de cada funcionario de realizar el acta de entrega del cargo</v>
      </c>
      <c r="T135" s="11">
        <f ca="1">IFERROR(__xludf.DUMMYFUNCTION("""COMPUTED_VALUE"""),44925)</f>
        <v>44925</v>
      </c>
      <c r="U135" s="10"/>
    </row>
    <row r="136" spans="1:21" ht="409.5" x14ac:dyDescent="0.2">
      <c r="A136" s="10" t="str">
        <f ca="1">IFERROR(__xludf.DUMMYFUNCTION("""COMPUTED_VALUE"""),"Talento Humano")</f>
        <v>Talento Humano</v>
      </c>
      <c r="B136" s="10" t="str">
        <f ca="1">IFERROR(__xludf.DUMMYFUNCTION("""COMPUTED_VALUE"""),"Gestión Estratégica del Talento Humano - Componente Meritocracia")</f>
        <v>Gestión Estratégica del Talento Humano - Componente Meritocracia</v>
      </c>
      <c r="C136" s="10" t="str">
        <f ca="1">IFERROR(__xludf.DUMMYFUNCTION("""COMPUTED_VALUE"""),"Contar con mecanismos para evaluar competencias para los candidatos a cubrir vacantes temporales o de libre nombramiento y remoción.")</f>
        <v>Contar con mecanismos para evaluar competencias para los candidatos a cubrir vacantes temporales o de libre nombramiento y remoción.</v>
      </c>
      <c r="D136" s="10" t="str">
        <f ca="1">IFERROR(__xludf.DUMMYFUNCTION("""COMPUTED_VALUE"""),"mecanismos para evaluar competencias para los candidatos a cubrir vacantes temporales o de libre nombramiento y remoción.")</f>
        <v>mecanismos para evaluar competencias para los candidatos a cubrir vacantes temporales o de libre nombramiento y remoción.</v>
      </c>
      <c r="E136" s="10" t="str">
        <f ca="1">IFERROR(__xludf.DUMMYFUNCTION("""COMPUTED_VALUE"""),"cumplimiento de los requisitos exigidos para el desempeño del empleo y
 el procedimiento establecido en la ley y se aplica el proceso de selección establecido.")</f>
        <v>cumplimiento de los requisitos exigidos para el desempeño del empleo y
 el procedimiento establecido en la ley y se aplica el proceso de selección establecido.</v>
      </c>
      <c r="F136" s="11">
        <f ca="1">IFERROR(__xludf.DUMMYFUNCTION("""COMPUTED_VALUE"""),44592)</f>
        <v>44592</v>
      </c>
      <c r="G136" s="11">
        <f ca="1">IFERROR(__xludf.DUMMYFUNCTION("""COMPUTED_VALUE"""),44925)</f>
        <v>44925</v>
      </c>
      <c r="H136" s="10" t="str">
        <f ca="1">IFERROR(__xludf.DUMMYFUNCTION("""COMPUTED_VALUE"""),"Director de Talento Humano")</f>
        <v>Director de Talento Humano</v>
      </c>
      <c r="I136" s="12">
        <f ca="1">IFERROR(__xludf.DUMMYFUNCTION("""COMPUTED_VALUE"""),0.6)</f>
        <v>0.6</v>
      </c>
      <c r="J136" s="10" t="str">
        <f ca="1">IFERROR(__xludf.DUMMYFUNCTION("""COMPUTED_VALUE"""),"Para la vigencia evaluada 01 de enero a 31 de marzo a  2022, Se evalúan competencias mediante mecanismos propios y el 100% del cumplimiento de los requisitos ")</f>
        <v xml:space="preserve">Para la vigencia evaluada 01 de enero a 31 de marzo a  2022, Se evalúan competencias mediante mecanismos propios y el 100% del cumplimiento de los requisitos </v>
      </c>
      <c r="K136" s="11">
        <f ca="1">IFERROR(__xludf.DUMMYFUNCTION("""COMPUTED_VALUE"""),44651)</f>
        <v>44651</v>
      </c>
      <c r="L136" s="12">
        <f ca="1">IFERROR(__xludf.DUMMYFUNCTION("""COMPUTED_VALUE"""),0.7)</f>
        <v>0.7</v>
      </c>
      <c r="M136" s="10" t="str">
        <f ca="1">IFERROR(__xludf.DUMMYFUNCTION("""COMPUTED_VALUE"""),"Para la vigencia evaluada 30 de marzo a 30 de junio de 2022, en relación al cubrimiento de vacantes, se cuenta con el mecanismo de concurso interno de ascenso el cual brinda las herramientas normativas necesarias, en los cuales los empleados con derechos "&amp;"de carrera, pueden presentarse a los cargos vacantes de su entidad, en un concurso cerrado, al cual solo se podrán presentar funcionarios de la entidad. 
Para garantizar la transparencia, objetividad y mérito en el desarrollo de las convocatorias interna"&amp;"s para provisión transitoria mediante Encargo, se ha venido perfeccionando la publicación de los estudios técnicos como lo establece la Ley de Carrera Administrativa, donde se evidencia la metodología utilizada en el ejercicio de los procesos de selección"&amp;", socializando previamente los resultados con los servidores públicos de carrera que realizan la veeduría de los procesos de selección internos.
Así mismo, la entidad ha venido participando en las convocatorias que ha adelantado la CNSC, para ingresar a "&amp;"la carrera administrativa y ascender dentro de la misma a través de los concursos de mérito, según con lo establecido en la Carta magna y de conformidad con la Ley 909 de 2004 y la Ley 1960 de 2019.
Ahora bien, en lo relacionado con los cargos de libre n"&amp;"ombramiento y remoción, se evalúan competencias mediante mecanismos propios y el 100% del cumplimiento de los requisitos contemplados en el manual de funciones, así como el agotamiento de los procesos internos.
")</f>
        <v xml:space="preserve">Para la vigencia evaluada 30 de marzo a 30 de junio de 2022, en relación al cubrimiento de vacantes, se cuenta con el mecanismo de concurso interno de ascenso el cual brinda las herramientas normativas necesarias, en los cuales los empleados con derechos de carrera, pueden presentarse a los cargos vacantes de su entidad, en un concurso cerrado, al cual solo se podrán presentar funcionarios de la entidad. 
Para garantizar la transparencia, objetividad y mérito en el desarrollo de las convocatorias internas para provisión transitoria mediante Encargo, se ha venido perfeccionando la publicación de los estudios técnicos como lo establece la Ley de Carrera Administrativa, donde se evidencia la metodología utilizada en el ejercicio de los procesos de selección, socializando previamente los resultados con los servidores públicos de carrera que realizan la veeduría de los procesos de selección internos.
Así mismo, la entidad ha venido participando en las convocatorias que ha adelantado la CNSC, para ingresar a la carrera administrativa y ascender dentro de la misma a través de los concursos de mérito, según con lo establecido en la Carta magna y de conformidad con la Ley 909 de 2004 y la Ley 1960 de 2019.
Ahora bien, en lo relacionado con los cargos de libre nombramiento y remoción, se evalúan competencias mediante mecanismos propios y el 100% del cumplimiento de los requisitos contemplados en el manual de funciones, así como el agotamiento de los procesos internos.
</v>
      </c>
      <c r="N136" s="11"/>
      <c r="O136" s="12">
        <f ca="1">IFERROR(__xludf.DUMMYFUNCTION("""COMPUTED_VALUE"""),0.8)</f>
        <v>0.8</v>
      </c>
      <c r="P136" s="10" t="str">
        <f ca="1">IFERROR(__xludf.DUMMYFUNCTION("""COMPUTED_VALUE"""),"Para la vigencia evaluada 01 de julio a 30 de septimbre de 2022, se da continuidad al proceso  en relación al cubrimiento de vacantes, con el mecanismo de concurso interno de ascenso el cual brinda las herramientas normativas necesarias, en los cuales los"&amp;" empleados con derechos de carrera, pueden presentarse a los cargos vacantes de su entidad, en un concurso cerrado, al cual solo se  presentan funcionarios de la entidad. 
Para garantizar la transparencia, objetividad y mérito en el desarrollo de las c"&amp;"onvocatorias internas para provisión transitoria mediante Encargo, se ha venido perfeccionando la publicación de los estudios técnicos como lo establece la Ley de Carrera Administrativa, donde se evidencia la metodología utilizada en el ejercicio de los p"&amp;"rocesos de selección, socializando previamente los resultados con los servidores públicos de carrera que realizan la veeduría de los procesos de selección internos.
Así mismo, la entidad ha venido participando en las convocatorias que ha adelantado la "&amp;"CNSC, para ingresar a la carrera administrativa y ascender dentro de la misma a través de los concursos de mérito, según con lo establecido en la Carta magna y de conformidad con la Ley 909 de 2004 y la Ley 1960 de 2019.
Ahora bien, en lo relacionado c"&amp;"on los cargos de libre nombramiento y remoción, se evalúan competencias mediante mecanismos propios y el 100% del cumplimiento de los requisitos contemplados en el manual de funciones, así como el agotamiento de los procesos internos.")</f>
        <v>Para la vigencia evaluada 01 de julio a 30 de septimbre de 2022, se da continuidad al proceso  en relación al cubrimiento de vacantes, con el mecanismo de concurso interno de ascenso el cual brinda las herramientas normativas necesarias, en los cuales los empleados con derechos de carrera, pueden presentarse a los cargos vacantes de su entidad, en un concurso cerrado, al cual solo se  presentan funcionarios de la entidad. 
Para garantizar la transparencia, objetividad y mérito en el desarrollo de las convocatorias internas para provisión transitoria mediante Encargo, se ha venido perfeccionando la publicación de los estudios técnicos como lo establece la Ley de Carrera Administrativa, donde se evidencia la metodología utilizada en el ejercicio de los procesos de selección, socializando previamente los resultados con los servidores públicos de carrera que realizan la veeduría de los procesos de selección internos.
Así mismo, la entidad ha venido participando en las convocatorias que ha adelantado la CNSC, para ingresar a la carrera administrativa y ascender dentro de la misma a través de los concursos de mérito, según con lo establecido en la Carta magna y de conformidad con la Ley 909 de 2004 y la Ley 1960 de 2019.
Ahora bien, en lo relacionado con los cargos de libre nombramiento y remoción, se evalúan competencias mediante mecanismos propios y el 100% del cumplimiento de los requisitos contemplados en el manual de funciones, así como el agotamiento de los procesos internos.</v>
      </c>
      <c r="Q136" s="11">
        <f ca="1">IFERROR(__xludf.DUMMYFUNCTION("""COMPUTED_VALUE"""),44834)</f>
        <v>44834</v>
      </c>
      <c r="R136" s="12">
        <f ca="1">IFERROR(__xludf.DUMMYFUNCTION("""COMPUTED_VALUE"""),0.9)</f>
        <v>0.9</v>
      </c>
      <c r="S136" s="10" t="str">
        <f ca="1">IFERROR(__xludf.DUMMYFUNCTION("""COMPUTED_VALUE"""),"Para la vigencia evaluada 01 de octubre a 30 de diciembre de 2022 , se da continuidad al proceso en relación al cubrimiento de vacantes, con el mecanismo de concurso interno de ascenso el cual brinda las herramientas normativas necesarias, en los cuales l"&amp;"os empleados con derechos de carrera, pueden presentarse a los cargos vacantes de su entidad, en un concurso cerrado, al cual solo se presentan funcionarios de la entidad. 
 Para garantizar la transparencia, objetividad y mérito en el desarrollo de las "&amp;"convocatorias internas para provisión transitoria mediante Encargo, se ha venido perfeccionando la publicación de los estudios técnicos como lo establece la Ley de Carrera Administrativa, donde se evidencia la metodología utilizada en el ejercicio de los "&amp;"procesos de selección, socializando previamente los resultados con los servidores públicos de carrera que realizan la veeduría de los procesos de selección internos.
 Así mismo, la entidad ha venido participando en las convocatorias que ha adelantado la"&amp;" CNSC, para ingresar a la carrera administrativa y ascender dentro de la misma a través de los concursos de mérito, según con lo establecido en la Carta magna y de conformidad con la Ley 909 de 2004 y la Ley 1960 de 2019.
 Ahora bien, en lo relacionado "&amp;"con los cargos de libre nombramiento y remoción, se evalúan competencias mediante mecanismos propios y el 100% del cumplimiento de los requisitos contemplados en el manual de funciones, así como el agotamiento de los procesos internos")</f>
        <v>Para la vigencia evaluada 01 de octubre a 30 de diciembre de 2022 , se da continuidad al proceso en relación al cubrimiento de vacantes, con el mecanismo de concurso interno de ascenso el cual brinda las herramientas normativas necesarias, en los cuales los empleados con derechos de carrera, pueden presentarse a los cargos vacantes de su entidad, en un concurso cerrado, al cual solo se presentan funcionarios de la entidad. 
 Para garantizar la transparencia, objetividad y mérito en el desarrollo de las convocatorias internas para provisión transitoria mediante Encargo, se ha venido perfeccionando la publicación de los estudios técnicos como lo establece la Ley de Carrera Administrativa, donde se evidencia la metodología utilizada en el ejercicio de los procesos de selección, socializando previamente los resultados con los servidores públicos de carrera que realizan la veeduría de los procesos de selección internos.
 Así mismo, la entidad ha venido participando en las convocatorias que ha adelantado la CNSC, para ingresar a la carrera administrativa y ascender dentro de la misma a través de los concursos de mérito, según con lo establecido en la Carta magna y de conformidad con la Ley 909 de 2004 y la Ley 1960 de 2019.
 Ahora bien, en lo relacionado con los cargos de libre nombramiento y remoción, se evalúan competencias mediante mecanismos propios y el 100% del cumplimiento de los requisitos contemplados en el manual de funciones, así como el agotamiento de los procesos internos</v>
      </c>
      <c r="T136" s="11">
        <f ca="1">IFERROR(__xludf.DUMMYFUNCTION("""COMPUTED_VALUE"""),44925)</f>
        <v>44925</v>
      </c>
      <c r="U136" s="10"/>
    </row>
    <row r="137" spans="1:21" ht="409.5" x14ac:dyDescent="0.2">
      <c r="A137" s="10" t="str">
        <f ca="1">IFERROR(__xludf.DUMMYFUNCTION("""COMPUTED_VALUE"""),"Talento Humano")</f>
        <v>Talento Humano</v>
      </c>
      <c r="B137" s="10" t="str">
        <f ca="1">IFERROR(__xludf.DUMMYFUNCTION("""COMPUTED_VALUE"""),"Gestión Estratégica del Talento Humano - Componente Inclusión")</f>
        <v>Gestión Estratégica del Talento Humano - Componente Inclusión</v>
      </c>
      <c r="C137" s="10" t="str">
        <f ca="1">IFERROR(__xludf.DUMMYFUNCTION("""COMPUTED_VALUE"""),"Cumplimiento del Decreto 2011 de 2017 relacionado con el porcentaje de vinculación de personas con discapacidad en la planta de empleos de la entidad")</f>
        <v>Cumplimiento del Decreto 2011 de 2017 relacionado con el porcentaje de vinculación de personas con discapacidad en la planta de empleos de la entidad</v>
      </c>
      <c r="D137" s="10" t="str">
        <f ca="1">IFERROR(__xludf.DUMMYFUNCTION("""COMPUTED_VALUE"""),"cumplimiento de la Ley 2011 de 2017; en relación al porcentaje de vinculación de personas con discapacidad.")</f>
        <v>cumplimiento de la Ley 2011 de 2017; en relación al porcentaje de vinculación de personas con discapacidad.</v>
      </c>
      <c r="E137" s="10" t="str">
        <f ca="1">IFERROR(__xludf.DUMMYFUNCTION("""COMPUTED_VALUE"""),"# de actividades de promoción ejecutadas # de actividades de promoción programadas")</f>
        <v># de actividades de promoción ejecutadas # de actividades de promoción programadas</v>
      </c>
      <c r="F137" s="11">
        <f ca="1">IFERROR(__xludf.DUMMYFUNCTION("""COMPUTED_VALUE"""),44592)</f>
        <v>44592</v>
      </c>
      <c r="G137" s="11">
        <f ca="1">IFERROR(__xludf.DUMMYFUNCTION("""COMPUTED_VALUE"""),44925)</f>
        <v>44925</v>
      </c>
      <c r="H137" s="10" t="str">
        <f ca="1">IFERROR(__xludf.DUMMYFUNCTION("""COMPUTED_VALUE"""),"Director de Talento Humano")</f>
        <v>Director de Talento Humano</v>
      </c>
      <c r="I137" s="12">
        <f ca="1">IFERROR(__xludf.DUMMYFUNCTION("""COMPUTED_VALUE"""),0.65)</f>
        <v>0.65</v>
      </c>
      <c r="J137" s="10" t="str">
        <f ca="1">IFERROR(__xludf.DUMMYFUNCTION("""COMPUTED_VALUE"""),"Para la vigencia evaluada 01 de enero a 31 de marzo a  2022, se cuenta con  el personas con discapacidad, en función del porcentaje de cumplimiento establecido en el decreto, Para la vigencia evaluada")</f>
        <v>Para la vigencia evaluada 01 de enero a 31 de marzo a  2022, se cuenta con  el personas con discapacidad, en función del porcentaje de cumplimiento establecido en el decreto, Para la vigencia evaluada</v>
      </c>
      <c r="K137" s="11">
        <f ca="1">IFERROR(__xludf.DUMMYFUNCTION("""COMPUTED_VALUE"""),44651)</f>
        <v>44651</v>
      </c>
      <c r="L137" s="12">
        <f ca="1">IFERROR(__xludf.DUMMYFUNCTION("""COMPUTED_VALUE"""),0.6)</f>
        <v>0.6</v>
      </c>
      <c r="M137" s="10" t="str">
        <f ca="1">IFERROR(__xludf.DUMMYFUNCTION("""COMPUTED_VALUE"""),"Para la vigencia evaluada 01 de enero a 31 de marzo a  2022, se cuenta con 512 personas vinculadas en la planta de las cuales el 2% equivale a  la obligatoriedad de vincular como mínimo a 10 personas con discapacidad, a la fecha la administración cuenta c"&amp;"on 06 personas con discapacidad esto es un cumplimento del 60% de lo establecido en el decreto, Para la vigencia evaluada. Además se deja claridad que gran parte del personal que ingresa a la administración ingresa por concurso de carrera administrativa a"&amp;"delantada por la CNSC")</f>
        <v>Para la vigencia evaluada 01 de enero a 31 de marzo a  2022, se cuenta con 512 personas vinculadas en la planta de las cuales el 2% equivale a  la obligatoriedad de vincular como mínimo a 10 personas con discapacidad, a la fecha la administración cuenta con 06 personas con discapacidad esto es un cumplimento del 60% de lo establecido en el decreto, Para la vigencia evaluada. Además se deja claridad que gran parte del personal que ingresa a la administración ingresa por concurso de carrera administrativa adelantada por la CNSC</v>
      </c>
      <c r="N137" s="11"/>
      <c r="O137" s="12">
        <f ca="1">IFERROR(__xludf.DUMMYFUNCTION("""COMPUTED_VALUE"""),0.6)</f>
        <v>0.6</v>
      </c>
      <c r="P137" s="10" t="str">
        <f ca="1">IFERROR(__xludf.DUMMYFUNCTION("""COMPUTED_VALUE"""),"Para la vigencia evaluada 01 de julio a 30 de septimbre de 2022, se cuenta con 520 personas vinculadas en la planta de las cuales el 2% equivale a  la obligatoriedad de vincular como mínimo a 10 personas con discapacidad, a la fecha la administración cuen"&amp;"ta con 06 personas con discapacidad esto es un cumplimento del 60% de lo establecido en el decreto, Para la vigencia evaluada. Además se deja claridad que gran parte del personal que ingresa a la administración ingresa por concurso de carrera administrati"&amp;"va adelantada por la CNSC")</f>
        <v>Para la vigencia evaluada 01 de julio a 30 de septimbre de 2022, se cuenta con 520 personas vinculadas en la planta de las cuales el 2% equivale a  la obligatoriedad de vincular como mínimo a 10 personas con discapacidad, a la fecha la administración cuenta con 06 personas con discapacidad esto es un cumplimento del 60% de lo establecido en el decreto, Para la vigencia evaluada. Además se deja claridad que gran parte del personal que ingresa a la administración ingresa por concurso de carrera administrativa adelantada por la CNSC</v>
      </c>
      <c r="Q137" s="11">
        <f ca="1">IFERROR(__xludf.DUMMYFUNCTION("""COMPUTED_VALUE"""),44834)</f>
        <v>44834</v>
      </c>
      <c r="R137" s="12">
        <f ca="1">IFERROR(__xludf.DUMMYFUNCTION("""COMPUTED_VALUE"""),0.65)</f>
        <v>0.65</v>
      </c>
      <c r="S137" s="10" t="str">
        <f ca="1">IFERROR(__xludf.DUMMYFUNCTION("""COMPUTED_VALUE"""),"Para la vigencia evaluada 01 de octubre a 30 de diciembre de 2022 , e cuenta con 520 personas vinculadas en la planta de las cuales el 2% equivale a la obligatoriedad de vincular como mínimo a 10 personas con discapacidad, a la fecha la administración cue"&amp;"nta con 06 personas con discapacidad esto es un cumplimento del 60% de lo establecido en el decreto, Para la vigencia evaluada. Además se deja claridad que gran parte del personal que ingresa a la administración ingresa por concurso de carrera administrat"&amp;"iva adelantada por la CNSC")</f>
        <v>Para la vigencia evaluada 01 de octubre a 30 de diciembre de 2022 , e cuenta con 520 personas vinculadas en la planta de las cuales el 2% equivale a la obligatoriedad de vincular como mínimo a 10 personas con discapacidad, a la fecha la administración cuenta con 06 personas con discapacidad esto es un cumplimento del 60% de lo establecido en el decreto, Para la vigencia evaluada. Además se deja claridad que gran parte del personal que ingresa a la administración ingresa por concurso de carrera administrativa adelantada por la CNSC</v>
      </c>
      <c r="T137" s="11">
        <f ca="1">IFERROR(__xludf.DUMMYFUNCTION("""COMPUTED_VALUE"""),44925)</f>
        <v>44925</v>
      </c>
      <c r="U137" s="10"/>
    </row>
    <row r="138" spans="1:21" ht="318.75" x14ac:dyDescent="0.2">
      <c r="A138" s="10" t="str">
        <f ca="1">IFERROR(__xludf.DUMMYFUNCTION("""COMPUTED_VALUE"""),"Talento Humano")</f>
        <v>Talento Humano</v>
      </c>
      <c r="B138" s="10" t="str">
        <f ca="1">IFERROR(__xludf.DUMMYFUNCTION("""COMPUTED_VALUE"""),"Gestión Estratégica del Talento Humano -Plan mejoramiento FURAG")</f>
        <v>Gestión Estratégica del Talento Humano -Plan mejoramiento FURAG</v>
      </c>
      <c r="C138" s="10" t="str">
        <f ca="1">IFERROR(__xludf.DUMMYFUNCTION("""COMPUTED_VALUE"""),"Para llevar a cabo la selección de un gerente público o de un empleo de libre nombramiento y remoción, la entidad:")</f>
        <v>Para llevar a cabo la selección de un gerente público o de un empleo de libre nombramiento y remoción, la entidad:</v>
      </c>
      <c r="D138" s="10" t="str">
        <f ca="1">IFERROR(__xludf.DUMMYFUNCTION("""COMPUTED_VALUE"""),"proveen el nombramiento, previo cumplimiento de los requisitos exigidos para el desempeño del empleo, garantizando el proceso de verificación de los Documentos presentados de estudio y de experiencia para selección de gerente de libre nombramiento y
 remo"&amp;"ción cuando presente vacancia definitiva")</f>
        <v>proveen el nombramiento, previo cumplimiento de los requisitos exigidos para el desempeño del empleo, garantizando el proceso de verificación de los Documentos presentados de estudio y de experiencia para selección de gerente de libre nombramiento y
 remoción cuando presente vacancia definitiva</v>
      </c>
      <c r="E138" s="10" t="str">
        <f ca="1">IFERROR(__xludf.DUMMYFUNCTION("""COMPUTED_VALUE"""),"100% cumplimiento de los requisitos en el manual de funciones vigente")</f>
        <v>100% cumplimiento de los requisitos en el manual de funciones vigente</v>
      </c>
      <c r="F138" s="11">
        <f ca="1">IFERROR(__xludf.DUMMYFUNCTION("""COMPUTED_VALUE"""),44592)</f>
        <v>44592</v>
      </c>
      <c r="G138" s="11">
        <f ca="1">IFERROR(__xludf.DUMMYFUNCTION("""COMPUTED_VALUE"""),44925)</f>
        <v>44925</v>
      </c>
      <c r="H138" s="10" t="str">
        <f ca="1">IFERROR(__xludf.DUMMYFUNCTION("""COMPUTED_VALUE"""),"Director de Talento Humano")</f>
        <v>Director de Talento Humano</v>
      </c>
      <c r="I138" s="12">
        <f ca="1">IFERROR(__xludf.DUMMYFUNCTION("""COMPUTED_VALUE"""),0.65)</f>
        <v>0.65</v>
      </c>
      <c r="J138" s="10" t="str">
        <f ca="1">IFERROR(__xludf.DUMMYFUNCTION("""COMPUTED_VALUE"""),"Para la vigencia evaluada 01 de enero a 31 de marzo a  2022,  se cuenta con las evidencias  de selección de gerente de  libre nombramiento y remoción cuando presenta vacancia definitiva  100% cumplimiento de los requisitos en el manual de funciones vigent"&amp;"e ")</f>
        <v xml:space="preserve">Para la vigencia evaluada 01 de enero a 31 de marzo a  2022,  se cuenta con las evidencias  de selección de gerente de  libre nombramiento y remoción cuando presenta vacancia definitiva  100% cumplimiento de los requisitos en el manual de funciones vigente </v>
      </c>
      <c r="K138" s="11">
        <f ca="1">IFERROR(__xludf.DUMMYFUNCTION("""COMPUTED_VALUE"""),44651)</f>
        <v>44651</v>
      </c>
      <c r="L138" s="12">
        <f ca="1">IFERROR(__xludf.DUMMYFUNCTION("""COMPUTED_VALUE"""),0.65)</f>
        <v>0.65</v>
      </c>
      <c r="M138" s="10" t="str">
        <f ca="1">IFERROR(__xludf.DUMMYFUNCTION("""COMPUTED_VALUE"""),"Para la vigencia evaluada 30 de marzo a 30 de junio de 2022,  se cuenta con las evidencias  de selección de gerente de  libre nombramiento y remoción cuando presenta vacancia definitiva  100% cumplimiento de los requisitos en el manual de funciones vigent"&amp;"e ")</f>
        <v xml:space="preserve">Para la vigencia evaluada 30 de marzo a 30 de junio de 2022,  se cuenta con las evidencias  de selección de gerente de  libre nombramiento y remoción cuando presenta vacancia definitiva  100% cumplimiento de los requisitos en el manual de funciones vigente </v>
      </c>
      <c r="N138" s="11"/>
      <c r="O138" s="12">
        <f ca="1">IFERROR(__xludf.DUMMYFUNCTION("""COMPUTED_VALUE"""),0.65)</f>
        <v>0.65</v>
      </c>
      <c r="P138" s="10" t="str">
        <f ca="1">IFERROR(__xludf.DUMMYFUNCTION("""COMPUTED_VALUE"""),"Para la vigencia evaluada 01 de julio a 30 de septimbre de 2022, e cuenta con las evidencias  de selección de gerente de  libre nombramiento y remoción cuando presenta vacancia definitiva  100% cumplimiento de los requisitos en el manual de funciones vige"&amp;"nte.")</f>
        <v>Para la vigencia evaluada 01 de julio a 30 de septimbre de 2022, e cuenta con las evidencias  de selección de gerente de  libre nombramiento y remoción cuando presenta vacancia definitiva  100% cumplimiento de los requisitos en el manual de funciones vigente.</v>
      </c>
      <c r="Q138" s="11">
        <f ca="1">IFERROR(__xludf.DUMMYFUNCTION("""COMPUTED_VALUE"""),44834)</f>
        <v>44834</v>
      </c>
      <c r="R138" s="12">
        <f ca="1">IFERROR(__xludf.DUMMYFUNCTION("""COMPUTED_VALUE"""),0.7)</f>
        <v>0.7</v>
      </c>
      <c r="S138" s="10" t="str">
        <f ca="1">IFERROR(__xludf.DUMMYFUNCTION("""COMPUTED_VALUE"""),"Para la vigencia evaluada 01 de octubre a 30 de diciembre de 2022 , se cuenta con las evidencias de selección de gerente de libre nombramiento y remoción cuando presenta vacancia definitiva 100% cumplimiento de los requisitos en el manual de funciones vig"&amp;"ente.")</f>
        <v>Para la vigencia evaluada 01 de octubre a 30 de diciembre de 2022 , se cuenta con las evidencias de selección de gerente de libre nombramiento y remoción cuando presenta vacancia definitiva 100% cumplimiento de los requisitos en el manual de funciones vigente.</v>
      </c>
      <c r="T138" s="11">
        <f ca="1">IFERROR(__xludf.DUMMYFUNCTION("""COMPUTED_VALUE"""),44925)</f>
        <v>44925</v>
      </c>
      <c r="U138" s="10"/>
    </row>
    <row r="139" spans="1:21" ht="409.5" x14ac:dyDescent="0.2">
      <c r="A139" s="10" t="str">
        <f ca="1">IFERROR(__xludf.DUMMYFUNCTION("""COMPUTED_VALUE"""),"Talento Humano")</f>
        <v>Talento Humano</v>
      </c>
      <c r="B139" s="10" t="str">
        <f ca="1">IFERROR(__xludf.DUMMYFUNCTION("""COMPUTED_VALUE"""),"Gestión Estratégica del Talento Humano -Plan mejoramiento FURAG")</f>
        <v>Gestión Estratégica del Talento Humano -Plan mejoramiento FURAG</v>
      </c>
      <c r="C139" s="10" t="str">
        <f ca="1">IFERROR(__xludf.DUMMYFUNCTION("""COMPUTED_VALUE"""),"Desvinculación asistida y retención del conocimiento generado")</f>
        <v>Desvinculación asistida y retención del conocimiento generado</v>
      </c>
      <c r="D139" s="10" t="str">
        <f ca="1">IFERROR(__xludf.DUMMYFUNCTION("""COMPUTED_VALUE"""),"implementar mecanismos que permita ajustar el
 procedimiento de desvinculación que incluya la entrega del puesto de trabajo, información prácticas y conocimientos de los procesos, reporte de exámenes médicos
 de retiro y expedición del paz y salvo respect"&amp;"ivo para gestionar Identificar y documentar las razones del retiro de los servidores de la entidad.")</f>
        <v>implementar mecanismos que permita ajustar el
 procedimiento de desvinculación que incluya la entrega del puesto de trabajo, información prácticas y conocimientos de los procesos, reporte de exámenes médicos
 de retiro y expedición del paz y salvo respectivo para gestionar Identificar y documentar las razones del retiro de los servidores de la entidad.</v>
      </c>
      <c r="E139" s="10" t="str">
        <f ca="1">IFERROR(__xludf.DUMMYFUNCTION("""COMPUTED_VALUE"""),"Informe trimestral de causas de retiro de la entidad, con el fin de implementar acciones de mejora en la gestión del talento humano.")</f>
        <v>Informe trimestral de causas de retiro de la entidad, con el fin de implementar acciones de mejora en la gestión del talento humano.</v>
      </c>
      <c r="F139" s="11">
        <f ca="1">IFERROR(__xludf.DUMMYFUNCTION("""COMPUTED_VALUE"""),44743)</f>
        <v>44743</v>
      </c>
      <c r="G139" s="11">
        <f ca="1">IFERROR(__xludf.DUMMYFUNCTION("""COMPUTED_VALUE"""),44925)</f>
        <v>44925</v>
      </c>
      <c r="H139" s="10" t="str">
        <f ca="1">IFERROR(__xludf.DUMMYFUNCTION("""COMPUTED_VALUE"""),"Director de Talento Humano")</f>
        <v>Director de Talento Humano</v>
      </c>
      <c r="I139" s="12"/>
      <c r="J139" s="10"/>
      <c r="K139" s="11"/>
      <c r="L139" s="12">
        <f ca="1">IFERROR(__xludf.DUMMYFUNCTION("""COMPUTED_VALUE"""),0.3)</f>
        <v>0.3</v>
      </c>
      <c r="M139" s="10" t="str">
        <f ca="1">IFERROR(__xludf.DUMMYFUNCTION("""COMPUTED_VALUE"""),"Para la vigencia evaluada 30 de marzo a 30 de junio de 2022, se cuenta con el acta de entrega del puesto y en proceso de aplicación del instrumento a la ejecución de una actividad que permita realizar el informe completo de funcionarios desvinculados.
")</f>
        <v xml:space="preserve">Para la vigencia evaluada 30 de marzo a 30 de junio de 2022, se cuenta con el acta de entrega del puesto y en proceso de aplicación del instrumento a la ejecución de una actividad que permita realizar el informe completo de funcionarios desvinculados.
</v>
      </c>
      <c r="N139" s="11"/>
      <c r="O139" s="12">
        <f ca="1">IFERROR(__xludf.DUMMYFUNCTION("""COMPUTED_VALUE"""),0.6)</f>
        <v>0.6</v>
      </c>
      <c r="P139" s="10" t="str">
        <f ca="1">IFERROR(__xludf.DUMMYFUNCTION("""COMPUTED_VALUE"""),"Para la vigencia evaluada 01 de julio a 30 de septiembre de 2022, se cuenta con el acta de entrega del puesto, así mismo  se adiciono un articulo en el Decreto de  ACEPTA UNA RENUNCIA, como compromiso , al desvincularse deben de entregar un informe detall"&amp;"ado ARTÍCULO SEGUNDO:  un 
acta de entrega detallada y pormenorizada de los procesos asignados a su cargo ante el
Jefe Inmediato, con copia a Control Interno. y reposa en hoja de vida  
https://1drv.ms/b/s!AtW5mFBw4pQEiDwyIM2wO_FFk44J?e=0FpxYs")</f>
        <v>Para la vigencia evaluada 01 de julio a 30 de septiembre de 2022, se cuenta con el acta de entrega del puesto, así mismo  se adiciono un articulo en el Decreto de  ACEPTA UNA RENUNCIA, como compromiso , al desvincularse deben de entregar un informe detallado ARTÍCULO SEGUNDO:  un 
acta de entrega detallada y pormenorizada de los procesos asignados a su cargo ante el
Jefe Inmediato, con copia a Control Interno. y reposa en hoja de vida  
https://1drv.ms/b/s!AtW5mFBw4pQEiDwyIM2wO_FFk44J?e=0FpxYs</v>
      </c>
      <c r="Q139" s="11">
        <f ca="1">IFERROR(__xludf.DUMMYFUNCTION("""COMPUTED_VALUE"""),44834)</f>
        <v>44834</v>
      </c>
      <c r="R139" s="12">
        <f ca="1">IFERROR(__xludf.DUMMYFUNCTION("""COMPUTED_VALUE"""),0.7)</f>
        <v>0.7</v>
      </c>
      <c r="S139" s="10" t="str">
        <f ca="1">IFERROR(__xludf.DUMMYFUNCTION("""COMPUTED_VALUE"""),"Para la vigencia evaluada 01 de octubre a 30 de diciembre de 2022 , se cuenta con el acta de entrega del puesto, así mismo se adiciono un articulo en el Decreto de ACEPTA UNA RENUNCIA, como compromiso , al desvincularse deben de entregar un informe detall"&amp;"ado ARTÍCULO SEGUNDO: un 
 acta de entrega detallada y pormenorizada de los procesos asignados a su cargo ante el
 Jefe Inmediato, con copia a Control Interno. y reposa en hoja de vida 
 https://1drv.ms/b/s!AtW5mFBw4pQEiDwyIM2wO_FFk44J?e=0FpxYs")</f>
        <v>Para la vigencia evaluada 01 de octubre a 30 de diciembre de 2022 , se cuenta con el acta de entrega del puesto, así mismo se adiciono un articulo en el Decreto de ACEPTA UNA RENUNCIA, como compromiso , al desvincularse deben de entregar un informe detallado ARTÍCULO SEGUNDO: un 
 acta de entrega detallada y pormenorizada de los procesos asignados a su cargo ante el
 Jefe Inmediato, con copia a Control Interno. y reposa en hoja de vida 
 https://1drv.ms/b/s!AtW5mFBw4pQEiDwyIM2wO_FFk44J?e=0FpxYs</v>
      </c>
      <c r="T139" s="11">
        <f ca="1">IFERROR(__xludf.DUMMYFUNCTION("""COMPUTED_VALUE"""),44925)</f>
        <v>44925</v>
      </c>
      <c r="U139" s="10"/>
    </row>
    <row r="140" spans="1:21" ht="127.5" x14ac:dyDescent="0.2">
      <c r="A140" s="10" t="str">
        <f ca="1">IFERROR(__xludf.DUMMYFUNCTION("""COMPUTED_VALUE"""),"Gestión con valores para resultados")</f>
        <v>Gestión con valores para resultados</v>
      </c>
      <c r="B140" s="10" t="str">
        <f ca="1">IFERROR(__xludf.DUMMYFUNCTION("""COMPUTED_VALUE"""),"Gobierno Digital")</f>
        <v>Gobierno Digital</v>
      </c>
      <c r="C140" s="10" t="str">
        <f ca="1">IFERROR(__xludf.DUMMYFUNCTION("""COMPUTED_VALUE"""),"Cumplir con los criterios de accesibilidad web, de nivel A y AA de conformidad, definidos en la NTC5854 en todas las secciones del portal Web oficial")</f>
        <v>Cumplir con los criterios de accesibilidad web, de nivel A y AA de conformidad, definidos en la NTC5854 en todas las secciones del portal Web oficial</v>
      </c>
      <c r="D140" s="10" t="str">
        <f ca="1">IFERROR(__xludf.DUMMYFUNCTION("""COMPUTED_VALUE"""),"Portal web cumpliendo con criterios de accesibilidad")</f>
        <v>Portal web cumpliendo con criterios de accesibilidad</v>
      </c>
      <c r="E140" s="10" t="str">
        <f ca="1">IFERROR(__xludf.DUMMYFUNCTION("""COMPUTED_VALUE"""),"100% de cumplimiento de criterios de accesibilidad")</f>
        <v>100% de cumplimiento de criterios de accesibilidad</v>
      </c>
      <c r="F140" s="11">
        <f ca="1">IFERROR(__xludf.DUMMYFUNCTION("""COMPUTED_VALUE"""),44593)</f>
        <v>44593</v>
      </c>
      <c r="G140" s="11">
        <f ca="1">IFERROR(__xludf.DUMMYFUNCTION("""COMPUTED_VALUE"""),44925)</f>
        <v>44925</v>
      </c>
      <c r="H140" s="10" t="str">
        <f ca="1">IFERROR(__xludf.DUMMYFUNCTION("""COMPUTED_VALUE"""),"Director Técnico de Infraestructura Tecnológica")</f>
        <v>Director Técnico de Infraestructura Tecnológica</v>
      </c>
      <c r="I140" s="12">
        <f ca="1">IFERROR(__xludf.DUMMYFUNCTION("""COMPUTED_VALUE"""),0.95)</f>
        <v>0.95</v>
      </c>
      <c r="J140" s="10" t="str">
        <f ca="1">IFERROR(__xludf.DUMMYFUNCTION("""COMPUTED_VALUE"""),"Documentos en custodia de la secretaría de Tecnologías de la Información y la Comunicación")</f>
        <v>Documentos en custodia de la secretaría de Tecnologías de la Información y la Comunicación</v>
      </c>
      <c r="K140" s="11">
        <f ca="1">IFERROR(__xludf.DUMMYFUNCTION("""COMPUTED_VALUE"""),44650)</f>
        <v>44650</v>
      </c>
      <c r="L140" s="12">
        <f ca="1">IFERROR(__xludf.DUMMYFUNCTION("""COMPUTED_VALUE"""),0.95)</f>
        <v>0.95</v>
      </c>
      <c r="M140" s="10" t="str">
        <f ca="1">IFERROR(__xludf.DUMMYFUNCTION("""COMPUTED_VALUE"""),"Documentos en custodia de la secretaría de Tecnologías de la Información y la Comunicación")</f>
        <v>Documentos en custodia de la secretaría de Tecnologías de la Información y la Comunicación</v>
      </c>
      <c r="N140" s="11">
        <f ca="1">IFERROR(__xludf.DUMMYFUNCTION("""COMPUTED_VALUE"""),44742)</f>
        <v>44742</v>
      </c>
      <c r="O140" s="12">
        <f ca="1">IFERROR(__xludf.DUMMYFUNCTION("""COMPUTED_VALUE"""),0.95)</f>
        <v>0.95</v>
      </c>
      <c r="P140" s="10" t="str">
        <f ca="1">IFERROR(__xludf.DUMMYFUNCTION("""COMPUTED_VALUE"""),"Documentos en custodia de la secretaría de Tecnologías de la Información y la Comunicación")</f>
        <v>Documentos en custodia de la secretaría de Tecnologías de la Información y la Comunicación</v>
      </c>
      <c r="Q140" s="11">
        <f ca="1">IFERROR(__xludf.DUMMYFUNCTION("""COMPUTED_VALUE"""),44834)</f>
        <v>44834</v>
      </c>
      <c r="R140" s="12">
        <f ca="1">IFERROR(__xludf.DUMMYFUNCTION("""COMPUTED_VALUE"""),0.95)</f>
        <v>0.95</v>
      </c>
      <c r="S140" s="10" t="str">
        <f ca="1">IFERROR(__xludf.DUMMYFUNCTION("""COMPUTED_VALUE"""),"Documentos en custodia de la secretaría de Tecnologías de la Información y la Comunicación")</f>
        <v>Documentos en custodia de la secretaría de Tecnologías de la Información y la Comunicación</v>
      </c>
      <c r="T140" s="11">
        <f ca="1">IFERROR(__xludf.DUMMYFUNCTION("""COMPUTED_VALUE"""),44925)</f>
        <v>44925</v>
      </c>
      <c r="U140" s="10"/>
    </row>
    <row r="141" spans="1:21" ht="127.5" x14ac:dyDescent="0.2">
      <c r="A141" s="10" t="str">
        <f ca="1">IFERROR(__xludf.DUMMYFUNCTION("""COMPUTED_VALUE"""),"Gestión con valores para resultados")</f>
        <v>Gestión con valores para resultados</v>
      </c>
      <c r="B141" s="10" t="str">
        <f ca="1">IFERROR(__xludf.DUMMYFUNCTION("""COMPUTED_VALUE"""),"Gobierno Digital")</f>
        <v>Gobierno Digital</v>
      </c>
      <c r="C141" s="10" t="str">
        <f ca="1">IFERROR(__xludf.DUMMYFUNCTION("""COMPUTED_VALUE"""),"Cumplir con los criterios de usabilidad en todas las secciones del portal Web oficial")</f>
        <v>Cumplir con los criterios de usabilidad en todas las secciones del portal Web oficial</v>
      </c>
      <c r="D141" s="10" t="str">
        <f ca="1">IFERROR(__xludf.DUMMYFUNCTION("""COMPUTED_VALUE"""),"Portal web cumpliendo con criterios de usabilidad")</f>
        <v>Portal web cumpliendo con criterios de usabilidad</v>
      </c>
      <c r="E141" s="10" t="str">
        <f ca="1">IFERROR(__xludf.DUMMYFUNCTION("""COMPUTED_VALUE"""),"100% de cumplimiento de criterios de usabilidad")</f>
        <v>100% de cumplimiento de criterios de usabilidad</v>
      </c>
      <c r="F141" s="11">
        <f ca="1">IFERROR(__xludf.DUMMYFUNCTION("""COMPUTED_VALUE"""),44593)</f>
        <v>44593</v>
      </c>
      <c r="G141" s="11">
        <f ca="1">IFERROR(__xludf.DUMMYFUNCTION("""COMPUTED_VALUE"""),44925)</f>
        <v>44925</v>
      </c>
      <c r="H141" s="10" t="str">
        <f ca="1">IFERROR(__xludf.DUMMYFUNCTION("""COMPUTED_VALUE"""),"Director Técnico de Infraestructura Tecnológica")</f>
        <v>Director Técnico de Infraestructura Tecnológica</v>
      </c>
      <c r="I141" s="12">
        <f ca="1">IFERROR(__xludf.DUMMYFUNCTION("""COMPUTED_VALUE"""),0.85)</f>
        <v>0.85</v>
      </c>
      <c r="J141" s="10" t="str">
        <f ca="1">IFERROR(__xludf.DUMMYFUNCTION("""COMPUTED_VALUE"""),"Documentos en custodia de la secretaría de Tecnologías de la Información y la Comunicación")</f>
        <v>Documentos en custodia de la secretaría de Tecnologías de la Información y la Comunicación</v>
      </c>
      <c r="K141" s="11">
        <f ca="1">IFERROR(__xludf.DUMMYFUNCTION("""COMPUTED_VALUE"""),44650)</f>
        <v>44650</v>
      </c>
      <c r="L141" s="12">
        <f ca="1">IFERROR(__xludf.DUMMYFUNCTION("""COMPUTED_VALUE"""),0.85)</f>
        <v>0.85</v>
      </c>
      <c r="M141" s="10" t="str">
        <f ca="1">IFERROR(__xludf.DUMMYFUNCTION("""COMPUTED_VALUE"""),"Documentos en custodia de la secretaría de Tecnologías de la Información y la Comunicación")</f>
        <v>Documentos en custodia de la secretaría de Tecnologías de la Información y la Comunicación</v>
      </c>
      <c r="N141" s="11">
        <f ca="1">IFERROR(__xludf.DUMMYFUNCTION("""COMPUTED_VALUE"""),44742)</f>
        <v>44742</v>
      </c>
      <c r="O141" s="12">
        <f ca="1">IFERROR(__xludf.DUMMYFUNCTION("""COMPUTED_VALUE"""),0.85)</f>
        <v>0.85</v>
      </c>
      <c r="P141" s="10" t="str">
        <f ca="1">IFERROR(__xludf.DUMMYFUNCTION("""COMPUTED_VALUE"""),"Documentos en custodia de la secretaría de Tecnologías de la Información y la Comunicación")</f>
        <v>Documentos en custodia de la secretaría de Tecnologías de la Información y la Comunicación</v>
      </c>
      <c r="Q141" s="11">
        <f ca="1">IFERROR(__xludf.DUMMYFUNCTION("""COMPUTED_VALUE"""),44834)</f>
        <v>44834</v>
      </c>
      <c r="R141" s="12">
        <f ca="1">IFERROR(__xludf.DUMMYFUNCTION("""COMPUTED_VALUE"""),0.85)</f>
        <v>0.85</v>
      </c>
      <c r="S141" s="10" t="str">
        <f ca="1">IFERROR(__xludf.DUMMYFUNCTION("""COMPUTED_VALUE"""),"Documentos en custodia de la secretaría de Tecnologías de la Información y la Comunicación")</f>
        <v>Documentos en custodia de la secretaría de Tecnologías de la Información y la Comunicación</v>
      </c>
      <c r="T141" s="11">
        <f ca="1">IFERROR(__xludf.DUMMYFUNCTION("""COMPUTED_VALUE"""),44925)</f>
        <v>44925</v>
      </c>
      <c r="U141" s="10"/>
    </row>
    <row r="142" spans="1:21" ht="242.25" x14ac:dyDescent="0.2">
      <c r="A142" s="10" t="str">
        <f ca="1">IFERROR(__xludf.DUMMYFUNCTION("""COMPUTED_VALUE"""),"Gestión con valores para resultados")</f>
        <v>Gestión con valores para resultados</v>
      </c>
      <c r="B142" s="10" t="str">
        <f ca="1">IFERROR(__xludf.DUMMYFUNCTION("""COMPUTED_VALUE"""),"Gobierno Digital")</f>
        <v>Gobierno Digital</v>
      </c>
      <c r="C142" s="10" t="str">
        <f ca="1">IFERROR(__xludf.DUMMYFUNCTION("""COMPUTED_VALUE"""),"Realizar medición de satisfacción a usuarios de los trámites y servicios en línea.")</f>
        <v>Realizar medición de satisfacción a usuarios de los trámites y servicios en línea.</v>
      </c>
      <c r="D142" s="10" t="str">
        <f ca="1">IFERROR(__xludf.DUMMYFUNCTION("""COMPUTED_VALUE"""),"Una medición de satisfaccion diseñada y aplicada.")</f>
        <v>Una medición de satisfaccion diseñada y aplicada.</v>
      </c>
      <c r="E142" s="10" t="str">
        <f ca="1">IFERROR(__xludf.DUMMYFUNCTION("""COMPUTED_VALUE"""),"100% de encuestas de satisfacción de Trámites disponibles")</f>
        <v>100% de encuestas de satisfacción de Trámites disponibles</v>
      </c>
      <c r="F142" s="11">
        <f ca="1">IFERROR(__xludf.DUMMYFUNCTION("""COMPUTED_VALUE"""),44593)</f>
        <v>44593</v>
      </c>
      <c r="G142" s="11">
        <f ca="1">IFERROR(__xludf.DUMMYFUNCTION("""COMPUTED_VALUE"""),44925)</f>
        <v>44925</v>
      </c>
      <c r="H142" s="10" t="str">
        <f ca="1">IFERROR(__xludf.DUMMYFUNCTION("""COMPUTED_VALUE"""),"Director Operativo de Información y Servicios Digitales")</f>
        <v>Director Operativo de Información y Servicios Digitales</v>
      </c>
      <c r="I142" s="12">
        <f ca="1">IFERROR(__xludf.DUMMYFUNCTION("""COMPUTED_VALUE"""),0.6)</f>
        <v>0.6</v>
      </c>
      <c r="J142" s="10" t="str">
        <f ca="1">IFERROR(__xludf.DUMMYFUNCTION("""COMPUTED_VALUE"""),"Datos de operación trámites Alcaldía de Pereira:
 https://docs.google.com/spreadsheets/d/1lzXxH-_mZtJmHYm2pTR4KPXGam6m3faM/edit?usp=sharing&amp;ouid=109371799095710558491&amp;rtpof=true&amp;sd=true")</f>
        <v>Datos de operación trámites Alcaldía de Pereira:
 https://docs.google.com/spreadsheets/d/1lzXxH-_mZtJmHYm2pTR4KPXGam6m3faM/edit?usp=sharing&amp;ouid=109371799095710558491&amp;rtpof=true&amp;sd=true</v>
      </c>
      <c r="K142" s="11">
        <f ca="1">IFERROR(__xludf.DUMMYFUNCTION("""COMPUTED_VALUE"""),44650)</f>
        <v>44650</v>
      </c>
      <c r="L142" s="12">
        <f ca="1">IFERROR(__xludf.DUMMYFUNCTION("""COMPUTED_VALUE"""),0.66)</f>
        <v>0.66</v>
      </c>
      <c r="M142" s="10" t="str">
        <f ca="1">IFERROR(__xludf.DUMMYFUNCTION("""COMPUTED_VALUE"""),"Datos de operación trámites Alcaldía de Pereira:
 https://drive.google.com/drive/folders/1USWv5ZiYfBI3_-uXmxsZlSHmzwl0WGya?usp=sharing")</f>
        <v>Datos de operación trámites Alcaldía de Pereira:
 https://drive.google.com/drive/folders/1USWv5ZiYfBI3_-uXmxsZlSHmzwl0WGya?usp=sharing</v>
      </c>
      <c r="N142" s="11">
        <f ca="1">IFERROR(__xludf.DUMMYFUNCTION("""COMPUTED_VALUE"""),44742)</f>
        <v>44742</v>
      </c>
      <c r="O142" s="12">
        <f ca="1">IFERROR(__xludf.DUMMYFUNCTION("""COMPUTED_VALUE"""),0.8)</f>
        <v>0.8</v>
      </c>
      <c r="P142" s="10" t="str">
        <f ca="1">IFERROR(__xludf.DUMMYFUNCTION("""COMPUTED_VALUE"""),"Datos de operación trámites Alcaldía de Pereira:
https://docs.google.com/spreadsheets/d/13jcBJ2q8-Il6xCm4hn625eS6_S2WDEL4/edit?usp=sharing&amp;ouid=103677874629892394213&amp;rtpof=true&amp;sd=true")</f>
        <v>Datos de operación trámites Alcaldía de Pereira:
https://docs.google.com/spreadsheets/d/13jcBJ2q8-Il6xCm4hn625eS6_S2WDEL4/edit?usp=sharing&amp;ouid=103677874629892394213&amp;rtpof=true&amp;sd=true</v>
      </c>
      <c r="Q142" s="11">
        <f ca="1">IFERROR(__xludf.DUMMYFUNCTION("""COMPUTED_VALUE"""),44834)</f>
        <v>44834</v>
      </c>
      <c r="R142" s="12">
        <f ca="1">IFERROR(__xludf.DUMMYFUNCTION("""COMPUTED_VALUE"""),1)</f>
        <v>1</v>
      </c>
      <c r="S142" s="10" t="str">
        <f ca="1">IFERROR(__xludf.DUMMYFUNCTION("""COMPUTED_VALUE"""),"Datos de operación trámites Alcaldía de Pereira:
 https://docs.google.com/spreadsheets/d/1JWD-R8jNj2q4-F-6VRme_GSFbTcPnaxZ/edit?usp=share_link&amp;ouid=109371799095710558491&amp;rtpof=true&amp;sd=true")</f>
        <v>Datos de operación trámites Alcaldía de Pereira:
 https://docs.google.com/spreadsheets/d/1JWD-R8jNj2q4-F-6VRme_GSFbTcPnaxZ/edit?usp=share_link&amp;ouid=109371799095710558491&amp;rtpof=true&amp;sd=true</v>
      </c>
      <c r="T142" s="11">
        <f ca="1">IFERROR(__xludf.DUMMYFUNCTION("""COMPUTED_VALUE"""),44925)</f>
        <v>44925</v>
      </c>
      <c r="U142" s="10"/>
    </row>
    <row r="143" spans="1:21" ht="114.75" x14ac:dyDescent="0.2">
      <c r="A143" s="10" t="str">
        <f ca="1">IFERROR(__xludf.DUMMYFUNCTION("""COMPUTED_VALUE"""),"Gestión con valores para resultados")</f>
        <v>Gestión con valores para resultados</v>
      </c>
      <c r="B143" s="10" t="str">
        <f ca="1">IFERROR(__xludf.DUMMYFUNCTION("""COMPUTED_VALUE"""),"Gobierno Digital")</f>
        <v>Gobierno Digital</v>
      </c>
      <c r="C143" s="10" t="str">
        <f ca="1">IFERROR(__xludf.DUMMYFUNCTION("""COMPUTED_VALUE"""),"Realizar actualización del catálogo de datos abiertos")</f>
        <v>Realizar actualización del catálogo de datos abiertos</v>
      </c>
      <c r="D143" s="10" t="str">
        <f ca="1">IFERROR(__xludf.DUMMYFUNCTION("""COMPUTED_VALUE"""),"Catálogo de datos abiertos actualizado")</f>
        <v>Catálogo de datos abiertos actualizado</v>
      </c>
      <c r="E143" s="10" t="str">
        <f ca="1">IFERROR(__xludf.DUMMYFUNCTION("""COMPUTED_VALUE"""),"Documento Catálogo de datos abiertos actualizado")</f>
        <v>Documento Catálogo de datos abiertos actualizado</v>
      </c>
      <c r="F143" s="11">
        <f ca="1">IFERROR(__xludf.DUMMYFUNCTION("""COMPUTED_VALUE"""),44593)</f>
        <v>44593</v>
      </c>
      <c r="G143" s="11">
        <f ca="1">IFERROR(__xludf.DUMMYFUNCTION("""COMPUTED_VALUE"""),44925)</f>
        <v>44925</v>
      </c>
      <c r="H143" s="10" t="str">
        <f ca="1">IFERROR(__xludf.DUMMYFUNCTION("""COMPUTED_VALUE"""),"Director Operativo de Información y Servicios Digitales")</f>
        <v>Director Operativo de Información y Servicios Digitales</v>
      </c>
      <c r="I143" s="12">
        <f ca="1">IFERROR(__xludf.DUMMYFUNCTION("""COMPUTED_VALUE"""),1)</f>
        <v>1</v>
      </c>
      <c r="J143" s="10" t="str">
        <f ca="1">IFERROR(__xludf.DUMMYFUNCTION("""COMPUTED_VALUE"""),"Catalógo de datos abiertos actualizado:
 https://www.pereira.gov.co/loader.php?lServicio=Tools2&amp;lTipo=descargas&amp;lFuncion=descargar&amp;idFile=48110")</f>
        <v>Catalógo de datos abiertos actualizado:
 https://www.pereira.gov.co/loader.php?lServicio=Tools2&amp;lTipo=descargas&amp;lFuncion=descargar&amp;idFile=48110</v>
      </c>
      <c r="K143" s="11">
        <f ca="1">IFERROR(__xludf.DUMMYFUNCTION("""COMPUTED_VALUE"""),44650)</f>
        <v>44650</v>
      </c>
      <c r="L143" s="12">
        <f ca="1">IFERROR(__xludf.DUMMYFUNCTION("""COMPUTED_VALUE"""),1)</f>
        <v>1</v>
      </c>
      <c r="M143" s="10" t="str">
        <f ca="1">IFERROR(__xludf.DUMMYFUNCTION("""COMPUTED_VALUE"""),"Catalógo de datos abiertos actualizado:
 https://www.pereira.gov.co/documentos/880/2022/")</f>
        <v>Catalógo de datos abiertos actualizado:
 https://www.pereira.gov.co/documentos/880/2022/</v>
      </c>
      <c r="N143" s="11">
        <f ca="1">IFERROR(__xludf.DUMMYFUNCTION("""COMPUTED_VALUE"""),44742)</f>
        <v>44742</v>
      </c>
      <c r="O143" s="12">
        <f ca="1">IFERROR(__xludf.DUMMYFUNCTION("""COMPUTED_VALUE"""),1)</f>
        <v>1</v>
      </c>
      <c r="P143" s="10" t="str">
        <f ca="1">IFERROR(__xludf.DUMMYFUNCTION("""COMPUTED_VALUE"""),"Catalógo de datos abiertos actualizado:
 https://www.pereira.gov.co/documentos/880/2022/")</f>
        <v>Catalógo de datos abiertos actualizado:
 https://www.pereira.gov.co/documentos/880/2022/</v>
      </c>
      <c r="Q143" s="11">
        <f ca="1">IFERROR(__xludf.DUMMYFUNCTION("""COMPUTED_VALUE"""),44834)</f>
        <v>44834</v>
      </c>
      <c r="R143" s="12">
        <f ca="1">IFERROR(__xludf.DUMMYFUNCTION("""COMPUTED_VALUE"""),1)</f>
        <v>1</v>
      </c>
      <c r="S143" s="10" t="str">
        <f ca="1">IFERROR(__xludf.DUMMYFUNCTION("""COMPUTED_VALUE"""),"Catalógo de datos abiertos actualizado:
 https://www.pereira.gov.co/documentos/880/2022/")</f>
        <v>Catalógo de datos abiertos actualizado:
 https://www.pereira.gov.co/documentos/880/2022/</v>
      </c>
      <c r="T143" s="11">
        <f ca="1">IFERROR(__xludf.DUMMYFUNCTION("""COMPUTED_VALUE"""),44925)</f>
        <v>44925</v>
      </c>
      <c r="U143" s="10"/>
    </row>
    <row r="144" spans="1:21" ht="318.75" x14ac:dyDescent="0.2">
      <c r="A144" s="10" t="str">
        <f ca="1">IFERROR(__xludf.DUMMYFUNCTION("""COMPUTED_VALUE"""),"Gestión con valores para resultados")</f>
        <v>Gestión con valores para resultados</v>
      </c>
      <c r="B144" s="10" t="str">
        <f ca="1">IFERROR(__xludf.DUMMYFUNCTION("""COMPUTED_VALUE"""),"Gobierno Digital")</f>
        <v>Gobierno Digital</v>
      </c>
      <c r="C144" s="10" t="str">
        <f ca="1">IFERROR(__xludf.DUMMYFUNCTION("""COMPUTED_VALUE"""),"Actualizar el Catálogo de sistemas de Información")</f>
        <v>Actualizar el Catálogo de sistemas de Información</v>
      </c>
      <c r="D144" s="10" t="str">
        <f ca="1">IFERROR(__xludf.DUMMYFUNCTION("""COMPUTED_VALUE"""),"Catálogo de sistemas de información actualizado")</f>
        <v>Catálogo de sistemas de información actualizado</v>
      </c>
      <c r="E144" s="10" t="str">
        <f ca="1">IFERROR(__xludf.DUMMYFUNCTION("""COMPUTED_VALUE"""),"Documento Catálogo de sistemas de informacion actualizado")</f>
        <v>Documento Catálogo de sistemas de informacion actualizado</v>
      </c>
      <c r="F144" s="11">
        <f ca="1">IFERROR(__xludf.DUMMYFUNCTION("""COMPUTED_VALUE"""),44743)</f>
        <v>44743</v>
      </c>
      <c r="G144" s="11">
        <f ca="1">IFERROR(__xludf.DUMMYFUNCTION("""COMPUTED_VALUE"""),44925)</f>
        <v>44925</v>
      </c>
      <c r="H144" s="10" t="str">
        <f ca="1">IFERROR(__xludf.DUMMYFUNCTION("""COMPUTED_VALUE"""),"Director Operativo de Información y Servicios Digitales
 Director Técnico de Infraestructura Tecnológica")</f>
        <v>Director Operativo de Información y Servicios Digitales
 Director Técnico de Infraestructura Tecnológica</v>
      </c>
      <c r="I144" s="12">
        <f ca="1">IFERROR(__xludf.DUMMYFUNCTION("""COMPUTED_VALUE"""),0)</f>
        <v>0</v>
      </c>
      <c r="J144" s="10" t="str">
        <f ca="1">IFERROR(__xludf.DUMMYFUNCTION("""COMPUTED_VALUE"""),"Catálogo de sistemas de información vigente:
 SAIA / Módulo SIG / Promoción del Desarrollo Económico / Tecnología de la Información y la Comunicación / Otros documentos de calidad / 1.PDE_Catalogo_Sistemas_de_Informacion_V3.pdf")</f>
        <v>Catálogo de sistemas de información vigente:
 SAIA / Módulo SIG / Promoción del Desarrollo Económico / Tecnología de la Información y la Comunicación / Otros documentos de calidad / 1.PDE_Catalogo_Sistemas_de_Informacion_V3.pdf</v>
      </c>
      <c r="K144" s="11">
        <f ca="1">IFERROR(__xludf.DUMMYFUNCTION("""COMPUTED_VALUE"""),44650)</f>
        <v>44650</v>
      </c>
      <c r="L144" s="12">
        <f ca="1">IFERROR(__xludf.DUMMYFUNCTION("""COMPUTED_VALUE"""),0)</f>
        <v>0</v>
      </c>
      <c r="M144" s="10" t="str">
        <f ca="1">IFERROR(__xludf.DUMMYFUNCTION("""COMPUTED_VALUE"""),"Catálogo de sistemas de información vigente:
 SAIA / Módulo SIG / Promoción del Desarrollo Económico / Tecnología de la Información y la Comunicación / Otros documentos de calidad / 1.PDE_Catalogo_Sistemas_de_Informacion_V3.pdf")</f>
        <v>Catálogo de sistemas de información vigente:
 SAIA / Módulo SIG / Promoción del Desarrollo Económico / Tecnología de la Información y la Comunicación / Otros documentos de calidad / 1.PDE_Catalogo_Sistemas_de_Informacion_V3.pdf</v>
      </c>
      <c r="N144" s="11">
        <f ca="1">IFERROR(__xludf.DUMMYFUNCTION("""COMPUTED_VALUE"""),44742)</f>
        <v>44742</v>
      </c>
      <c r="O144" s="12">
        <f ca="1">IFERROR(__xludf.DUMMYFUNCTION("""COMPUTED_VALUE"""),0.2)</f>
        <v>0.2</v>
      </c>
      <c r="P144" s="10" t="str">
        <f ca="1">IFERROR(__xludf.DUMMYFUNCTION("""COMPUTED_VALUE"""),"Documento en proceso de actualización 
 Catálogo de sistemas de información vigente:
 SAIA / Módulo SIG / Promoción del Desarrollo Económico / Tecnología de la Información y la Comunicación / Otros documentos de calidad / 1.PDE_Catalogo_Sistemas_de_Info"&amp;"rmacion_V3.pdf")</f>
        <v>Documento en proceso de actualización 
 Catálogo de sistemas de información vigente:
 SAIA / Módulo SIG / Promoción del Desarrollo Económico / Tecnología de la Información y la Comunicación / Otros documentos de calidad / 1.PDE_Catalogo_Sistemas_de_Informacion_V3.pdf</v>
      </c>
      <c r="Q144" s="11">
        <f ca="1">IFERROR(__xludf.DUMMYFUNCTION("""COMPUTED_VALUE"""),44834)</f>
        <v>44834</v>
      </c>
      <c r="R144" s="12">
        <f ca="1">IFERROR(__xludf.DUMMYFUNCTION("""COMPUTED_VALUE"""),1)</f>
        <v>1</v>
      </c>
      <c r="S144" s="10" t="str">
        <f ca="1">IFERROR(__xludf.DUMMYFUNCTION("""COMPUTED_VALUE"""),"Documento en actualización en proceso de revisión para su publicación")</f>
        <v>Documento en actualización en proceso de revisión para su publicación</v>
      </c>
      <c r="T144" s="11">
        <f ca="1">IFERROR(__xludf.DUMMYFUNCTION("""COMPUTED_VALUE"""),44925)</f>
        <v>44925</v>
      </c>
      <c r="U144" s="10"/>
    </row>
    <row r="145" spans="1:21" ht="344.25" x14ac:dyDescent="0.2">
      <c r="A145" s="10" t="str">
        <f ca="1">IFERROR(__xludf.DUMMYFUNCTION("""COMPUTED_VALUE"""),"Gestión con valores para resultados")</f>
        <v>Gestión con valores para resultados</v>
      </c>
      <c r="B145" s="10" t="str">
        <f ca="1">IFERROR(__xludf.DUMMYFUNCTION("""COMPUTED_VALUE"""),"Gobierno Digital")</f>
        <v>Gobierno Digital</v>
      </c>
      <c r="C145" s="10" t="str">
        <f ca="1">IFERROR(__xludf.DUMMYFUNCTION("""COMPUTED_VALUE"""),"Actualizar el Directorio de componentes de información")</f>
        <v>Actualizar el Directorio de componentes de información</v>
      </c>
      <c r="D145" s="10" t="str">
        <f ca="1">IFERROR(__xludf.DUMMYFUNCTION("""COMPUTED_VALUE"""),"Directorio de componentes de Información actualizado")</f>
        <v>Directorio de componentes de Información actualizado</v>
      </c>
      <c r="E145" s="10" t="str">
        <f ca="1">IFERROR(__xludf.DUMMYFUNCTION("""COMPUTED_VALUE"""),"Documento Directorio de componentes de información actualizado")</f>
        <v>Documento Directorio de componentes de información actualizado</v>
      </c>
      <c r="F145" s="11">
        <f ca="1">IFERROR(__xludf.DUMMYFUNCTION("""COMPUTED_VALUE"""),44743)</f>
        <v>44743</v>
      </c>
      <c r="G145" s="11">
        <f ca="1">IFERROR(__xludf.DUMMYFUNCTION("""COMPUTED_VALUE"""),44925)</f>
        <v>44925</v>
      </c>
      <c r="H145" s="10" t="str">
        <f ca="1">IFERROR(__xludf.DUMMYFUNCTION("""COMPUTED_VALUE"""),"Director Operativo de Información y Servicios Digitales
 Director Técnico de Infraestructura Tecnológica")</f>
        <v>Director Operativo de Información y Servicios Digitales
 Director Técnico de Infraestructura Tecnológica</v>
      </c>
      <c r="I145" s="12">
        <f ca="1">IFERROR(__xludf.DUMMYFUNCTION("""COMPUTED_VALUE"""),0)</f>
        <v>0</v>
      </c>
      <c r="J145" s="10" t="str">
        <f ca="1">IFERROR(__xludf.DUMMYFUNCTION("""COMPUTED_VALUE"""),"Directorio de componentes de información vigente:
 SAIA / Módulo SIG / Promoción del Desarrollo Económico / Tecnología de la Información y la Comunicación / Otros documentos de calidad / PDE_Directorio_Componentes_Informacion_V4.pdf")</f>
        <v>Directorio de componentes de información vigente:
 SAIA / Módulo SIG / Promoción del Desarrollo Económico / Tecnología de la Información y la Comunicación / Otros documentos de calidad / PDE_Directorio_Componentes_Informacion_V4.pdf</v>
      </c>
      <c r="K145" s="11">
        <f ca="1">IFERROR(__xludf.DUMMYFUNCTION("""COMPUTED_VALUE"""),44650)</f>
        <v>44650</v>
      </c>
      <c r="L145" s="12">
        <f ca="1">IFERROR(__xludf.DUMMYFUNCTION("""COMPUTED_VALUE"""),0)</f>
        <v>0</v>
      </c>
      <c r="M145" s="10" t="str">
        <f ca="1">IFERROR(__xludf.DUMMYFUNCTION("""COMPUTED_VALUE"""),"Directorio de componentes de información vigente:
 SAIA / Módulo SIG / Promoción del Desarrollo Económico / Tecnología de la Información y la Comunicación / Otros documentos de calidad / PDE_Directorio_Componentes_Informacion_V4.pdf")</f>
        <v>Directorio de componentes de información vigente:
 SAIA / Módulo SIG / Promoción del Desarrollo Económico / Tecnología de la Información y la Comunicación / Otros documentos de calidad / PDE_Directorio_Componentes_Informacion_V4.pdf</v>
      </c>
      <c r="N145" s="11">
        <f ca="1">IFERROR(__xludf.DUMMYFUNCTION("""COMPUTED_VALUE"""),44742)</f>
        <v>44742</v>
      </c>
      <c r="O145" s="12">
        <f ca="1">IFERROR(__xludf.DUMMYFUNCTION("""COMPUTED_VALUE"""),0.2)</f>
        <v>0.2</v>
      </c>
      <c r="P145" s="10" t="str">
        <f ca="1">IFERROR(__xludf.DUMMYFUNCTION("""COMPUTED_VALUE"""),"Documento en proceso de actualización 
 Directorio de componentes de información vigente:
 SAIA / Módulo SIG / Promoción del Desarrollo Económico / Tecnología de la Información y la Comunicación / Otros documentos de calidad /
 PDE_Directorio_Componente"&amp;"s_Informacion_V4.pdf")</f>
        <v>Documento en proceso de actualización 
 Directorio de componentes de información vigente:
 SAIA / Módulo SIG / Promoción del Desarrollo Económico / Tecnología de la Información y la Comunicación / Otros documentos de calidad /
 PDE_Directorio_Componentes_Informacion_V4.pdf</v>
      </c>
      <c r="Q145" s="11">
        <f ca="1">IFERROR(__xludf.DUMMYFUNCTION("""COMPUTED_VALUE"""),44834)</f>
        <v>44834</v>
      </c>
      <c r="R145" s="12">
        <f ca="1">IFERROR(__xludf.DUMMYFUNCTION("""COMPUTED_VALUE"""),1)</f>
        <v>1</v>
      </c>
      <c r="S145" s="10" t="str">
        <f ca="1">IFERROR(__xludf.DUMMYFUNCTION("""COMPUTED_VALUE"""),"Documento en actualización en proceso de revisión para su publicación")</f>
        <v>Documento en actualización en proceso de revisión para su publicación</v>
      </c>
      <c r="T145" s="11">
        <f ca="1">IFERROR(__xludf.DUMMYFUNCTION("""COMPUTED_VALUE"""),44925)</f>
        <v>44925</v>
      </c>
      <c r="U145" s="10"/>
    </row>
    <row r="146" spans="1:21" ht="165.75" x14ac:dyDescent="0.2">
      <c r="A146" s="10" t="str">
        <f ca="1">IFERROR(__xludf.DUMMYFUNCTION("""COMPUTED_VALUE"""),"Gestión con valores para resultados")</f>
        <v>Gestión con valores para resultados</v>
      </c>
      <c r="B146" s="10" t="str">
        <f ca="1">IFERROR(__xludf.DUMMYFUNCTION("""COMPUTED_VALUE"""),"Gobierno Digital")</f>
        <v>Gobierno Digital</v>
      </c>
      <c r="C146" s="10" t="str">
        <f ca="1">IFERROR(__xludf.DUMMYFUNCTION("""COMPUTED_VALUE"""),"Usar el estándar GEL-XML en la implementación de servicios para el intercambio de información con otras entidades")</f>
        <v>Usar el estándar GEL-XML en la implementación de servicios para el intercambio de información con otras entidades</v>
      </c>
      <c r="D146" s="10" t="str">
        <f ca="1">IFERROR(__xludf.DUMMYFUNCTION("""COMPUTED_VALUE"""),"2 Servicios de intercambio de información implementados en el estándar GEL-XML")</f>
        <v>2 Servicios de intercambio de información implementados en el estándar GEL-XML</v>
      </c>
      <c r="E146" s="10" t="str">
        <f ca="1">IFERROR(__xludf.DUMMYFUNCTION("""COMPUTED_VALUE"""),"100% de servicios de intercambio de información implementados")</f>
        <v>100% de servicios de intercambio de información implementados</v>
      </c>
      <c r="F146" s="11">
        <f ca="1">IFERROR(__xludf.DUMMYFUNCTION("""COMPUTED_VALUE"""),44743)</f>
        <v>44743</v>
      </c>
      <c r="G146" s="11">
        <f ca="1">IFERROR(__xludf.DUMMYFUNCTION("""COMPUTED_VALUE"""),44925)</f>
        <v>44925</v>
      </c>
      <c r="H146" s="10" t="str">
        <f ca="1">IFERROR(__xludf.DUMMYFUNCTION("""COMPUTED_VALUE"""),"Director Operativo de Información y Servicios Digitales
 Director Técnico de Infraestructura Tecnológica")</f>
        <v>Director Operativo de Información y Servicios Digitales
 Director Técnico de Infraestructura Tecnológica</v>
      </c>
      <c r="I146" s="12">
        <f ca="1">IFERROR(__xludf.DUMMYFUNCTION("""COMPUTED_VALUE"""),0)</f>
        <v>0</v>
      </c>
      <c r="J146" s="10"/>
      <c r="K146" s="11"/>
      <c r="L146" s="12">
        <f ca="1">IFERROR(__xludf.DUMMYFUNCTION("""COMPUTED_VALUE"""),0)</f>
        <v>0</v>
      </c>
      <c r="M146" s="10"/>
      <c r="N146" s="11">
        <f ca="1">IFERROR(__xludf.DUMMYFUNCTION("""COMPUTED_VALUE"""),44742)</f>
        <v>44742</v>
      </c>
      <c r="O146" s="12">
        <f ca="1">IFERROR(__xludf.DUMMYFUNCTION("""COMPUTED_VALUE"""),0.3)</f>
        <v>0.3</v>
      </c>
      <c r="P146" s="10" t="str">
        <f ca="1">IFERROR(__xludf.DUMMYFUNCTION("""COMPUTED_VALUE"""),"En proceso de suscribir convenio con la Gobernación de Risaralda, con el fin de establecer el Dominio Político de la interoprabilidad entre las entidades.")</f>
        <v>En proceso de suscribir convenio con la Gobernación de Risaralda, con el fin de establecer el Dominio Político de la interoprabilidad entre las entidades.</v>
      </c>
      <c r="Q146" s="11">
        <f ca="1">IFERROR(__xludf.DUMMYFUNCTION("""COMPUTED_VALUE"""),44834)</f>
        <v>44834</v>
      </c>
      <c r="R146" s="12">
        <f ca="1">IFERROR(__xludf.DUMMYFUNCTION("""COMPUTED_VALUE"""),0.4)</f>
        <v>0.4</v>
      </c>
      <c r="S146" s="10" t="str">
        <f ca="1">IFERROR(__xludf.DUMMYFUNCTION("""COMPUTED_VALUE"""),"En proceso de suscribir convenio con la Gobernación de Risaralda, con el fin de establecer el Dominio Político de la interoprabilidad entre las entidades.")</f>
        <v>En proceso de suscribir convenio con la Gobernación de Risaralda, con el fin de establecer el Dominio Político de la interoprabilidad entre las entidades.</v>
      </c>
      <c r="T146" s="11">
        <f ca="1">IFERROR(__xludf.DUMMYFUNCTION("""COMPUTED_VALUE"""),44925)</f>
        <v>44925</v>
      </c>
      <c r="U146" s="10"/>
    </row>
    <row r="147" spans="1:21" ht="216.75" x14ac:dyDescent="0.2">
      <c r="A147" s="10" t="str">
        <f ca="1">IFERROR(__xludf.DUMMYFUNCTION("""COMPUTED_VALUE"""),"Gestión con valores para resultados")</f>
        <v>Gestión con valores para resultados</v>
      </c>
      <c r="B147" s="10" t="str">
        <f ca="1">IFERROR(__xludf.DUMMYFUNCTION("""COMPUTED_VALUE"""),"Gobierno Digital")</f>
        <v>Gobierno Digital</v>
      </c>
      <c r="C147" s="10" t="str">
        <f ca="1">IFERROR(__xludf.DUMMYFUNCTION("""COMPUTED_VALUE"""),"Actualizar la guía de estilo y las especificaciones técnicas de usabilidad adoptadas por el Municipio para los Sistemas de Información.")</f>
        <v>Actualizar la guía de estilo y las especificaciones técnicas de usabilidad adoptadas por el Municipio para los Sistemas de Información.</v>
      </c>
      <c r="D147" s="10" t="str">
        <f ca="1">IFERROR(__xludf.DUMMYFUNCTION("""COMPUTED_VALUE"""),"Guía de estilo y usabilidad actualizada")</f>
        <v>Guía de estilo y usabilidad actualizada</v>
      </c>
      <c r="E147" s="10" t="str">
        <f ca="1">IFERROR(__xludf.DUMMYFUNCTION("""COMPUTED_VALUE"""),"Documento Guía de estilo y usabilidad actualizado")</f>
        <v>Documento Guía de estilo y usabilidad actualizado</v>
      </c>
      <c r="F147" s="11">
        <f ca="1">IFERROR(__xludf.DUMMYFUNCTION("""COMPUTED_VALUE"""),44743)</f>
        <v>44743</v>
      </c>
      <c r="G147" s="11">
        <f ca="1">IFERROR(__xludf.DUMMYFUNCTION("""COMPUTED_VALUE"""),44925)</f>
        <v>44925</v>
      </c>
      <c r="H147" s="10" t="str">
        <f ca="1">IFERROR(__xludf.DUMMYFUNCTION("""COMPUTED_VALUE"""),"Director Operativo de Información y Servicios Digitales
 Director Técnico de Infraestructura Tecnológica")</f>
        <v>Director Operativo de Información y Servicios Digitales
 Director Técnico de Infraestructura Tecnológica</v>
      </c>
      <c r="I147" s="12">
        <f ca="1">IFERROR(__xludf.DUMMYFUNCTION("""COMPUTED_VALUE"""),0)</f>
        <v>0</v>
      </c>
      <c r="J147" s="10" t="str">
        <f ca="1">IFERROR(__xludf.DUMMYFUNCTION("""COMPUTED_VALUE"""),"Guía de estilo y usabilidad vigente: SAIA / Módulo SIG / Promoción del Desarrollo Económico / Tecnología de la Información y la Comunicación / Otros documentos de calidad / PDE_Guia_Estilo_Usabilidad_V4.pdf")</f>
        <v>Guía de estilo y usabilidad vigente: SAIA / Módulo SIG / Promoción del Desarrollo Económico / Tecnología de la Información y la Comunicación / Otros documentos de calidad / PDE_Guia_Estilo_Usabilidad_V4.pdf</v>
      </c>
      <c r="K147" s="11">
        <f ca="1">IFERROR(__xludf.DUMMYFUNCTION("""COMPUTED_VALUE"""),44650)</f>
        <v>44650</v>
      </c>
      <c r="L147" s="12">
        <f ca="1">IFERROR(__xludf.DUMMYFUNCTION("""COMPUTED_VALUE"""),0)</f>
        <v>0</v>
      </c>
      <c r="M147" s="10" t="str">
        <f ca="1">IFERROR(__xludf.DUMMYFUNCTION("""COMPUTED_VALUE"""),"Guía de estilo y usabilidad vigente: SAIA / Módulo SIG / Promoción del Desarrollo Económico / Tecnología de la Información y la Comunicación / Otros documentos de calidad / PDE_Guia_Estilo_Usabilidad_V4.pdf")</f>
        <v>Guía de estilo y usabilidad vigente: SAIA / Módulo SIG / Promoción del Desarrollo Económico / Tecnología de la Información y la Comunicación / Otros documentos de calidad / PDE_Guia_Estilo_Usabilidad_V4.pdf</v>
      </c>
      <c r="N147" s="11">
        <f ca="1">IFERROR(__xludf.DUMMYFUNCTION("""COMPUTED_VALUE"""),44742)</f>
        <v>44742</v>
      </c>
      <c r="O147" s="12">
        <f ca="1">IFERROR(__xludf.DUMMYFUNCTION("""COMPUTED_VALUE"""),1)</f>
        <v>1</v>
      </c>
      <c r="P147" s="10" t="str">
        <f ca="1">IFERROR(__xludf.DUMMYFUNCTION("""COMPUTED_VALUE"""),"Guía de estilo y usabilidad vigente: SAIA / Módulo SIG / Promoción del Desarrollo Económico / Tecnología de la Información y la Comunicación / Otros documentos de calidad / PDE_Guia_Estilo_Usabilidad_V4.pdf")</f>
        <v>Guía de estilo y usabilidad vigente: SAIA / Módulo SIG / Promoción del Desarrollo Económico / Tecnología de la Información y la Comunicación / Otros documentos de calidad / PDE_Guia_Estilo_Usabilidad_V4.pdf</v>
      </c>
      <c r="Q147" s="11">
        <f ca="1">IFERROR(__xludf.DUMMYFUNCTION("""COMPUTED_VALUE"""),44834)</f>
        <v>44834</v>
      </c>
      <c r="R147" s="12">
        <f ca="1">IFERROR(__xludf.DUMMYFUNCTION("""COMPUTED_VALUE"""),1)</f>
        <v>1</v>
      </c>
      <c r="S147" s="10" t="str">
        <f ca="1">IFERROR(__xludf.DUMMYFUNCTION("""COMPUTED_VALUE"""),"Guía de estilo y usabilidad vigente: SAIA / Módulo SIG / Promoción del Desarrollo Económico / Tecnología de la Información y la Comunicación / Otros documentos de calidad / PDE_Guia_Estilo_Usabilidad_V4.pdf")</f>
        <v>Guía de estilo y usabilidad vigente: SAIA / Módulo SIG / Promoción del Desarrollo Económico / Tecnología de la Información y la Comunicación / Otros documentos de calidad / PDE_Guia_Estilo_Usabilidad_V4.pdf</v>
      </c>
      <c r="T147" s="11">
        <f ca="1">IFERROR(__xludf.DUMMYFUNCTION("""COMPUTED_VALUE"""),44925)</f>
        <v>44925</v>
      </c>
      <c r="U147" s="10"/>
    </row>
    <row r="148" spans="1:21" ht="409.5" x14ac:dyDescent="0.2">
      <c r="A148" s="10" t="str">
        <f ca="1">IFERROR(__xludf.DUMMYFUNCTION("""COMPUTED_VALUE"""),"Gestión con valores para resultados")</f>
        <v>Gestión con valores para resultados</v>
      </c>
      <c r="B148" s="10" t="str">
        <f ca="1">IFERROR(__xludf.DUMMYFUNCTION("""COMPUTED_VALUE"""),"Gobierno Digital")</f>
        <v>Gobierno Digital</v>
      </c>
      <c r="C148" s="10" t="str">
        <f ca="1">IFERROR(__xludf.DUMMYFUNCTION("""COMPUTED_VALUE"""),"Actualizar los controles de los procedimientos del Sistema de Gestión de Seguridad y Privacidad de la Información")</f>
        <v>Actualizar los controles de los procedimientos del Sistema de Gestión de Seguridad y Privacidad de la Información</v>
      </c>
      <c r="D148" s="10" t="str">
        <f ca="1">IFERROR(__xludf.DUMMYFUNCTION("""COMPUTED_VALUE"""),"Controles de Procedimientos actualizado")</f>
        <v>Controles de Procedimientos actualizado</v>
      </c>
      <c r="E148" s="10" t="str">
        <f ca="1">IFERROR(__xludf.DUMMYFUNCTION("""COMPUTED_VALUE"""),"Documento de controles de Procedimientos de Seguridad y Privacidad de la Información actualizado")</f>
        <v>Documento de controles de Procedimientos de Seguridad y Privacidad de la Información actualizado</v>
      </c>
      <c r="F148" s="11">
        <f ca="1">IFERROR(__xludf.DUMMYFUNCTION("""COMPUTED_VALUE"""),44593)</f>
        <v>44593</v>
      </c>
      <c r="G148" s="11">
        <f ca="1">IFERROR(__xludf.DUMMYFUNCTION("""COMPUTED_VALUE"""),44925)</f>
        <v>44925</v>
      </c>
      <c r="H148" s="10" t="str">
        <f ca="1">IFERROR(__xludf.DUMMYFUNCTION("""COMPUTED_VALUE"""),"Director Sistemas de Información y Servicios Digitales")</f>
        <v>Director Sistemas de Información y Servicios Digitales</v>
      </c>
      <c r="I148" s="12">
        <f ca="1">IFERROR(__xludf.DUMMYFUNCTION("""COMPUTED_VALUE"""),0.4)</f>
        <v>0.4</v>
      </c>
      <c r="J148" s="10" t="str">
        <f ca="1">IFERROR(__xludf.DUMMYFUNCTION("""COMPUTED_VALUE"""),"En el mes de febrero se realiza:
 Se agregan los controles A 7.2.2(Toma de conciencia, educación y formación en la seguridad de la Información).
 A 7.2.3(proceso disciplinario)
 Se actualizan los controles: A.8(gestión de activos).
 A.8.1.1(inventario d"&amp;"e activos)
 A.8.1.2(propiedad de los activos)
 A.8.1.3(uso aceptable de los activos)
 A.8.1.4(devolución de activos)
 A.8.2.1(clasificación de la información).
 A.8.2.2(etiquetado de la información)
 En el mes de marzo se realiza:
 Se agregan los contro"&amp;"les A.10.1.1(Política sobre el uso de
 controles criptográficos).
 A.10.1.2 (Gestión de llaves)
 Se actualizan los controles: A.11.1.2(Controles físicos de entrada).
 A.11.1.3 (Seguridad de oficinas, recintos e instalaciones)
 A.11.1.4 (Protección contr"&amp;"a amenazas externas y ambientales)
 A.11.1.5(Trabajo en áreas seguras)
 Se adjunta el documento actualizado PDE_Protocolos_Procedimientos_Y_Controles_De_Seguridad_Y_Privacidad_V2")</f>
        <v>En el mes de febrero se realiza:
 Se agregan los controles A 7.2.2(Toma de conciencia, educación y formación en la seguridad de la Información).
 A 7.2.3(proceso disciplinario)
 Se actualizan los controles: A.8(gestión de activos).
 A.8.1.1(inventario de activos)
 A.8.1.2(propiedad de los activos)
 A.8.1.3(uso aceptable de los activos)
 A.8.1.4(devolución de activos)
 A.8.2.1(clasificación de la información).
 A.8.2.2(etiquetado de la información)
 En el mes de marzo se realiza:
 Se agregan los controles A.10.1.1(Política sobre el uso de
 controles criptográficos).
 A.10.1.2 (Gestión de llaves)
 Se actualizan los controles: A.11.1.2(Controles físicos de entrada).
 A.11.1.3 (Seguridad de oficinas, recintos e instalaciones)
 A.11.1.4 (Protección contra amenazas externas y ambientales)
 A.11.1.5(Trabajo en áreas seguras)
 Se adjunta el documento actualizado PDE_Protocolos_Procedimientos_Y_Controles_De_Seguridad_Y_Privacidad_V2</v>
      </c>
      <c r="K148" s="11">
        <f ca="1">IFERROR(__xludf.DUMMYFUNCTION("""COMPUTED_VALUE"""),44650)</f>
        <v>44650</v>
      </c>
      <c r="L148" s="12">
        <f ca="1">IFERROR(__xludf.DUMMYFUNCTION("""COMPUTED_VALUE"""),0.6)</f>
        <v>0.6</v>
      </c>
      <c r="M148" s="10" t="str">
        <f ca="1">IFERROR(__xludf.DUMMYFUNCTION("""COMPUTED_VALUE"""),"En el mes de mayo se agrega el control A6.1.1 Roles y responsabilidades para la seguridad de la información.
 En el mes de junio se agregan los siguientes controles:
 A.6.1.2 Separación de deberes
 A.6.1.3 Contacto con las autoridades
 A.6.1.4 Contacto co"&amp;"n grupos de interés especial
 A.6.1.5 Seguridad de la información en la gestión de proyecto")</f>
        <v>En el mes de mayo se agrega el control A6.1.1 Roles y responsabilidades para la seguridad de la información.
 En el mes de junio se agregan los siguientes controles:
 A.6.1.2 Separación de deberes
 A.6.1.3 Contacto con las autoridades
 A.6.1.4 Contacto con grupos de interés especial
 A.6.1.5 Seguridad de la información en la gestión de proyecto</v>
      </c>
      <c r="N148" s="11">
        <f ca="1">IFERROR(__xludf.DUMMYFUNCTION("""COMPUTED_VALUE"""),44742)</f>
        <v>44742</v>
      </c>
      <c r="O148" s="12">
        <f ca="1">IFERROR(__xludf.DUMMYFUNCTION("""COMPUTED_VALUE"""),0.8)</f>
        <v>0.8</v>
      </c>
      <c r="P148" s="10" t="str">
        <f ca="1">IFERROR(__xludf.DUMMYFUNCTION("""COMPUTED_VALUE"""),"De acuerdo a la normatividad de seguridad y privacidad de la información se agregan los controles: en el mes de julio, Procedimientos
 operacionales y responsabilidades A.12.1.1, A.12.1.2, A.12.1.3.
 Protección contra códigos maliciosos, A.12.2.1.
 Copias"&amp;" de respaldo, A.12.3.1.
 Registro y seguimiento, A.12.4.1, A.12.4.2, A.12.4.3, A.12.4.4.
 Control de software operacional, A.12.5.1.
 Gestión de la vulnerabilidad técnica, A.12.6.1, A.12.6.2.
 Consideraciones sobre auditorias de sistemas de Información, A"&amp;".12.7.1.
 En el mes de agosto : A.13.1.1 controles de redes. A.13.1.2 seguridad de los servicios de red. A.13.2.1 Políticas y procedimientos
 de transferencia de información. A.13.2.2 Acuerdos sobre
 transferencia de información. A.13.2.3 Mensajería ele"&amp;"ctrónica. A.13.2.4 Acuerdos de confidencialidad o de no divulgación. A.14.1.1. Análisis y especificación de requisitos de seguridad de la información. A.14.1.2 Seguridad de servicios de las aplicaciones en redes públicas. 
 A.14.1.3 Protección de transacc"&amp;"iones de los servicios de las aplicacionestransferencia de información. A.13.2.3 Mensajería electrónica. A.13.2.4 Acuerdos de confidencialidad o de no divulgación. A.14.1.1. Análisis y especificación de requisitos de seguridad de la información. A.14.1.2 "&amp;"Seguridad de servicios de las aplicaciones en redes públicas. 
 A.14.1.3 Protección de transacciones de los servicios de las aplicaciones")</f>
        <v>De acuerdo a la normatividad de seguridad y privacidad de la información se agregan los controles: en el mes de julio, Procedimientos
 operacionales y responsabilidades A.12.1.1, A.12.1.2, A.12.1.3.
 Protección contra códigos maliciosos, A.12.2.1.
 Copias de respaldo, A.12.3.1.
 Registro y seguimiento, A.12.4.1, A.12.4.2, A.12.4.3, A.12.4.4.
 Control de software operacional, A.12.5.1.
 Gestión de la vulnerabilidad técnica, A.12.6.1, A.12.6.2.
 Consideraciones sobre auditorias de sistemas de Información, A.12.7.1.
 En el mes de agosto : A.13.1.1 controles de redes. A.13.1.2 seguridad de los servicios de red. A.13.2.1 Políticas y procedimientos
 de transferencia de información. A.13.2.2 Acuerdos sobre
 transferencia de información. A.13.2.3 Mensajería electrónica. A.13.2.4 Acuerdos de confidencialidad o de no divulgación. A.14.1.1. Análisis y especificación de requisitos de seguridad de la información. A.14.1.2 Seguridad de servicios de las aplicaciones en redes públicas. 
 A.14.1.3 Protección de transacciones de los servicios de las aplicacionestransferencia de información. A.13.2.3 Mensajería electrónica. A.13.2.4 Acuerdos de confidencialidad o de no divulgación. A.14.1.1. Análisis y especificación de requisitos de seguridad de la información. A.14.1.2 Seguridad de servicios de las aplicaciones en redes públicas. 
 A.14.1.3 Protección de transacciones de los servicios de las aplicaciones</v>
      </c>
      <c r="Q148" s="11">
        <f ca="1">IFERROR(__xludf.DUMMYFUNCTION("""COMPUTED_VALUE"""),44834)</f>
        <v>44834</v>
      </c>
      <c r="R148" s="12">
        <f ca="1">IFERROR(__xludf.DUMMYFUNCTION("""COMPUTED_VALUE"""),1)</f>
        <v>1</v>
      </c>
      <c r="S148" s="10" t="str">
        <f ca="1">IFERROR(__xludf.DUMMYFUNCTION("""COMPUTED_VALUE"""),"Documento en actualización , se agregan los siguientes controles: A.15.1. Política de seguridad de la información para las relaciones con proveedores, A.15.1.2 Tratamiento de la seguridad dentro de los acuerdos con proveedores, A.15.1.3 Cadena de suminist"&amp;"ro de tecnología de información y comunicación, A.15.2.1 Seguimiento y revisión de los servicios de los proveedores, A.15.2.2 Gestión de cambios en los servicios de proveedores, A.16.1.1 Responsabilidad y procedimientos, A.16.1.2 Reporte de eventos de seg"&amp;"uridad de la información, A.16.1.3 Reporte de debilidades de seguridad de la información, A.16.1.4 Evaluación de eventos de seguridad de la información y decisiones sobre ellos, A.16.1.5 Respuesta a incidentes de seguridad de la información, A.16.1.6 Apre"&amp;"ndizaje obtenido de los incidentes de seguridad de la información, A.16.1.7 Recolección de evidencia, A.17.1.1 Planificación de la continuidad de la seguridad de la información, A.17.1.2 Implementación de la continuidad de la seguridad de la información, "&amp;"A.17.1.3 Verificación, revisión y evaluación de la continuidad de la seguridad de la información, A.17.2.1 Disponibilidad de instalaciones de procesamiento de información, A.18.1.1 Identificación de la legislación aplicable y de los requisitos contractual"&amp;"es, A.18.1.2 Derechos de propiedad intelectual, A.18.1.3 Protección de registros, A.18.1.4 Privacidad y protección de datos personales, A.18.1.5 Reglamentación de controles criptográficos, A.18.2.1 Revisión independiente de la seguridad de la información,"&amp;" A.18.2.2 Cumplimiento con las políticas y normas de seguridad, A.18.2.3 Revisión del cumplimiento técnico.
 Documento vigente: SAIA / Módulo SIG / Promoción del Desarrollo Económico / Tecnología de la Información y la Comunicación / Otros documentos de"&amp;" calidad / PDE_Control_de_Procedimientos_V1.pdf")</f>
        <v>Documento en actualización , se agregan los siguientes controles: A.15.1. Política de seguridad de la información para las relaciones con proveedores, A.15.1.2 Tratamiento de la seguridad dentro de los acuerdos con proveedores, A.15.1.3 Cadena de suministro de tecnología de información y comunicación, A.15.2.1 Seguimiento y revisión de los servicios de los proveedores, A.15.2.2 Gestión de cambios en los servicios de proveedores, A.16.1.1 Responsabilidad y procedimientos, A.16.1.2 Reporte de eventos de seguridad de la información, A.16.1.3 Reporte de debilidades de seguridad de la información, A.16.1.4 Evaluación de eventos de seguridad de la información y decisiones sobre ellos, A.16.1.5 Respuesta a incidentes de seguridad de la información, A.16.1.6 Aprendizaje obtenido de los incidentes de seguridad de la información, A.16.1.7 Recolección de evidencia, A.17.1.1 Planificación de la continuidad de la seguridad de la información, A.17.1.2 Implementación de la continuidad de la seguridad de la información, A.17.1.3 Verificación, revisión y evaluación de la continuidad de la seguridad de la información, A.17.2.1 Disponibilidad de instalaciones de procesamiento de información, A.18.1.1 Identificación de la legislación aplicable y de los requisitos contractuales, A.18.1.2 Derechos de propiedad intelectual, A.18.1.3 Protección de registros, A.18.1.4 Privacidad y protección de datos personales, A.18.1.5 Reglamentación de controles criptográficos, A.18.2.1 Revisión independiente de la seguridad de la información, A.18.2.2 Cumplimiento con las políticas y normas de seguridad, A.18.2.3 Revisión del cumplimiento técnico.
 Documento vigente: SAIA / Módulo SIG / Promoción del Desarrollo Económico / Tecnología de la Información y la Comunicación / Otros documentos de calidad / PDE_Control_de_Procedimientos_V1.pdf</v>
      </c>
      <c r="T148" s="11">
        <f ca="1">IFERROR(__xludf.DUMMYFUNCTION("""COMPUTED_VALUE"""),44925)</f>
        <v>44925</v>
      </c>
      <c r="U148" s="10"/>
    </row>
    <row r="149" spans="1:21" ht="178.5" x14ac:dyDescent="0.2">
      <c r="A149" s="10" t="str">
        <f ca="1">IFERROR(__xludf.DUMMYFUNCTION("""COMPUTED_VALUE"""),"Gestión con valores para resultados")</f>
        <v>Gestión con valores para resultados</v>
      </c>
      <c r="B149" s="10" t="str">
        <f ca="1">IFERROR(__xludf.DUMMYFUNCTION("""COMPUTED_VALUE"""),"Gobierno Digital")</f>
        <v>Gobierno Digital</v>
      </c>
      <c r="C149" s="10" t="str">
        <f ca="1">IFERROR(__xludf.DUMMYFUNCTION("""COMPUTED_VALUE"""),"Actualizar el Inventario de Activos de información de la entidad")</f>
        <v>Actualizar el Inventario de Activos de información de la entidad</v>
      </c>
      <c r="D149" s="10" t="str">
        <f ca="1">IFERROR(__xludf.DUMMYFUNCTION("""COMPUTED_VALUE"""),"Inventario de Activos de información actualizado")</f>
        <v>Inventario de Activos de información actualizado</v>
      </c>
      <c r="E149" s="10" t="str">
        <f ca="1">IFERROR(__xludf.DUMMYFUNCTION("""COMPUTED_VALUE"""),"100% del inventario de activos de información actualizado")</f>
        <v>100% del inventario de activos de información actualizado</v>
      </c>
      <c r="F149" s="11">
        <f ca="1">IFERROR(__xludf.DUMMYFUNCTION("""COMPUTED_VALUE"""),44743)</f>
        <v>44743</v>
      </c>
      <c r="G149" s="11">
        <f ca="1">IFERROR(__xludf.DUMMYFUNCTION("""COMPUTED_VALUE"""),44925)</f>
        <v>44925</v>
      </c>
      <c r="H149" s="10" t="str">
        <f ca="1">IFERROR(__xludf.DUMMYFUNCTION("""COMPUTED_VALUE"""),"Director Operativo de Información y Servicios Digitales")</f>
        <v>Director Operativo de Información y Servicios Digitales</v>
      </c>
      <c r="I149" s="12">
        <f ca="1">IFERROR(__xludf.DUMMYFUNCTION("""COMPUTED_VALUE"""),0)</f>
        <v>0</v>
      </c>
      <c r="J149" s="10" t="str">
        <f ca="1">IFERROR(__xludf.DUMMYFUNCTION("""COMPUTED_VALUE"""),"Inventario de activos de información se encuentra bajo custodia de la Secretaría de Tecnologías de la Información y la Comunicación, aprobado y actualizado a la vigencia 2021. Documento clasificado y reservado")</f>
        <v>Inventario de activos de información se encuentra bajo custodia de la Secretaría de Tecnologías de la Información y la Comunicación, aprobado y actualizado a la vigencia 2021. Documento clasificado y reservado</v>
      </c>
      <c r="K149" s="11">
        <f ca="1">IFERROR(__xludf.DUMMYFUNCTION("""COMPUTED_VALUE"""),44650)</f>
        <v>44650</v>
      </c>
      <c r="L149" s="12">
        <f ca="1">IFERROR(__xludf.DUMMYFUNCTION("""COMPUTED_VALUE"""),0)</f>
        <v>0</v>
      </c>
      <c r="M149" s="10"/>
      <c r="N149" s="11">
        <f ca="1">IFERROR(__xludf.DUMMYFUNCTION("""COMPUTED_VALUE"""),44742)</f>
        <v>44742</v>
      </c>
      <c r="O149" s="12">
        <f ca="1">IFERROR(__xludf.DUMMYFUNCTION("""COMPUTED_VALUE"""),0.3)</f>
        <v>0.3</v>
      </c>
      <c r="P149" s="10" t="str">
        <f ca="1">IFERROR(__xludf.DUMMYFUNCTION("""COMPUTED_VALUE"""),"Se envia oficio saia a todas las secretarias de la Alcaldia solicitando la información para la actualización de los activos de información.")</f>
        <v>Se envia oficio saia a todas las secretarias de la Alcaldia solicitando la información para la actualización de los activos de información.</v>
      </c>
      <c r="Q149" s="11">
        <f ca="1">IFERROR(__xludf.DUMMYFUNCTION("""COMPUTED_VALUE"""),44834)</f>
        <v>44834</v>
      </c>
      <c r="R149" s="12">
        <f ca="1">IFERROR(__xludf.DUMMYFUNCTION("""COMPUTED_VALUE"""),1)</f>
        <v>1</v>
      </c>
      <c r="S149" s="10" t="str">
        <f ca="1">IFERROR(__xludf.DUMMYFUNCTION("""COMPUTED_VALUE"""),"Se realiza la actualización de todos los activos de información de la Alcaldia de Pereira, el archivo esta en custodia con el director de servicios ciudados digitales.")</f>
        <v>Se realiza la actualización de todos los activos de información de la Alcaldia de Pereira, el archivo esta en custodia con el director de servicios ciudados digitales.</v>
      </c>
      <c r="T149" s="11">
        <f ca="1">IFERROR(__xludf.DUMMYFUNCTION("""COMPUTED_VALUE"""),44925)</f>
        <v>44925</v>
      </c>
      <c r="U149" s="10"/>
    </row>
    <row r="150" spans="1:21" ht="409.5" x14ac:dyDescent="0.2">
      <c r="A150" s="10" t="str">
        <f ca="1">IFERROR(__xludf.DUMMYFUNCTION("""COMPUTED_VALUE"""),"Gestión con valores para resultados")</f>
        <v>Gestión con valores para resultados</v>
      </c>
      <c r="B150" s="10" t="str">
        <f ca="1">IFERROR(__xludf.DUMMYFUNCTION("""COMPUTED_VALUE"""),"Gobierno Digital")</f>
        <v>Gobierno Digital</v>
      </c>
      <c r="C150" s="10" t="str">
        <f ca="1">IFERROR(__xludf.DUMMYFUNCTION("""COMPUTED_VALUE"""),"Realizar actualización del PETI y verificar la inclusión de acciones de transformación digital acordes a guía de MINTIC")</f>
        <v>Realizar actualización del PETI y verificar la inclusión de acciones de transformación digital acordes a guía de MINTIC</v>
      </c>
      <c r="D150" s="10" t="str">
        <f ca="1">IFERROR(__xludf.DUMMYFUNCTION("""COMPUTED_VALUE"""),"Documento PETI actualizado incluyendo acciones de transformación digital")</f>
        <v>Documento PETI actualizado incluyendo acciones de transformación digital</v>
      </c>
      <c r="E150" s="10" t="str">
        <f ca="1">IFERROR(__xludf.DUMMYFUNCTION("""COMPUTED_VALUE"""),"Documento PETI actualizado")</f>
        <v>Documento PETI actualizado</v>
      </c>
      <c r="F150" s="11">
        <f ca="1">IFERROR(__xludf.DUMMYFUNCTION("""COMPUTED_VALUE"""),44743)</f>
        <v>44743</v>
      </c>
      <c r="G150" s="11">
        <f ca="1">IFERROR(__xludf.DUMMYFUNCTION("""COMPUTED_VALUE"""),44925)</f>
        <v>44925</v>
      </c>
      <c r="H150" s="10" t="str">
        <f ca="1">IFERROR(__xludf.DUMMYFUNCTION("""COMPUTED_VALUE"""),"Director Operativo de Información y Servicios Digitales")</f>
        <v>Director Operativo de Información y Servicios Digitales</v>
      </c>
      <c r="I150" s="12">
        <f ca="1">IFERROR(__xludf.DUMMYFUNCTION("""COMPUTED_VALUE"""),0)</f>
        <v>0</v>
      </c>
      <c r="J150" s="10" t="str">
        <f ca="1">IFERROR(__xludf.DUMMYFUNCTION("""COMPUTED_VALUE"""),"PETI vigente: https://www.pereira.gov.co/loader.php?lServicio=Tools2&amp;lTipo=descargas&amp;lFuncion=descargar&amp;idFile=42603")</f>
        <v>PETI vigente: https://www.pereira.gov.co/loader.php?lServicio=Tools2&amp;lTipo=descargas&amp;lFuncion=descargar&amp;idFile=42603</v>
      </c>
      <c r="K150" s="11">
        <f ca="1">IFERROR(__xludf.DUMMYFUNCTION("""COMPUTED_VALUE"""),44650)</f>
        <v>44650</v>
      </c>
      <c r="L150" s="12">
        <f ca="1">IFERROR(__xludf.DUMMYFUNCTION("""COMPUTED_VALUE"""),0)</f>
        <v>0</v>
      </c>
      <c r="M150" s="10" t="str">
        <f ca="1">IFERROR(__xludf.DUMMYFUNCTION("""COMPUTED_VALUE"""),"PETI vigente: https://www.pereira.gov.co/loader.php?lServicio=Tools2&amp;lTipo=descargas&amp;lFuncion=descargar&amp;idFile=42603")</f>
        <v>PETI vigente: https://www.pereira.gov.co/loader.php?lServicio=Tools2&amp;lTipo=descargas&amp;lFuncion=descargar&amp;idFile=42603</v>
      </c>
      <c r="N150" s="11">
        <f ca="1">IFERROR(__xludf.DUMMYFUNCTION("""COMPUTED_VALUE"""),44742)</f>
        <v>44742</v>
      </c>
      <c r="O150" s="12">
        <f ca="1">IFERROR(__xludf.DUMMYFUNCTION("""COMPUTED_VALUE"""),0.2)</f>
        <v>0.2</v>
      </c>
      <c r="P150" s="10" t="str">
        <f ca="1">IFERROR(__xludf.DUMMYFUNCTION("""COMPUTED_VALUE"""),"Se realiza reunion previa de contextualizacion sobre la normatividad vigente para la actulizacion del PETIC")</f>
        <v>Se realiza reunion previa de contextualizacion sobre la normatividad vigente para la actulizacion del PETIC</v>
      </c>
      <c r="Q150" s="11">
        <f ca="1">IFERROR(__xludf.DUMMYFUNCTION("""COMPUTED_VALUE"""),44834)</f>
        <v>44834</v>
      </c>
      <c r="R150" s="12">
        <f ca="1">IFERROR(__xludf.DUMMYFUNCTION("""COMPUTED_VALUE"""),1)</f>
        <v>1</v>
      </c>
      <c r="S150" s="10" t="str">
        <f ca="1">IFERROR(__xludf.DUMMYFUNCTION("""COMPUTED_VALUE"""),"De acuerdo al manual de Gobierno Digital que facilita la implementación de la Política de Gobierno Digital disponible: https://app.powerbi.com/view?r=eyJrIjoiOTRiM2JkMzktMDlmOC00MTI4LWIyZDItYjAwZmM3ODg0MjhjIiwidCI6IjFhMDY3M2M2LTI0ZTEtNDc2ZC1iYjRkLWJhNmE5M"&amp;"WEzYzU4OCIsImMiOjR9&amp;pageName=ReportSection33716c9eb70759939a28
 y a la normatividad de la Política de Gobierno Digital disponible: https://app.powerbi.com/view?r=eyJrIjoiOTRiM2JkMzktMDlmOC00MTI4LWIyZDItYjAwZmM3ODg0MjhjIiwidCI6IjFhMDY3M2M2LTI0ZTEtNDc2ZC1iY"&amp;"jRkLWJhNmE5MWEzYzU4OCIsImMiOjR9&amp;pageName=ReportSection33716c9eb70759939a28
 Se actualizó el Plan Estratégico de Tecnologías de la Información y la Comunicación con los manuales y estándares de apoyo disponibles. Documento en revisión para su publicación")</f>
        <v>De acuerdo al manual de Gobierno Digital que facilita la implementación de la Política de Gobierno Digital disponible: https://app.powerbi.com/view?r=eyJrIjoiOTRiM2JkMzktMDlmOC00MTI4LWIyZDItYjAwZmM3ODg0MjhjIiwidCI6IjFhMDY3M2M2LTI0ZTEtNDc2ZC1iYjRkLWJhNmE5MWEzYzU4OCIsImMiOjR9&amp;pageName=ReportSection33716c9eb70759939a28
 y a la normatividad de la Política de Gobierno Digital disponible: https://app.powerbi.com/view?r=eyJrIjoiOTRiM2JkMzktMDlmOC00MTI4LWIyZDItYjAwZmM3ODg0MjhjIiwidCI6IjFhMDY3M2M2LTI0ZTEtNDc2ZC1iYjRkLWJhNmE5MWEzYzU4OCIsImMiOjR9&amp;pageName=ReportSection33716c9eb70759939a28
 Se actualizó el Plan Estratégico de Tecnologías de la Información y la Comunicación con los manuales y estándares de apoyo disponibles. Documento en revisión para su publicación</v>
      </c>
      <c r="T150" s="11">
        <f ca="1">IFERROR(__xludf.DUMMYFUNCTION("""COMPUTED_VALUE"""),44925)</f>
        <v>44925</v>
      </c>
      <c r="U150" s="10"/>
    </row>
    <row r="151" spans="1:21" ht="76.5" x14ac:dyDescent="0.2">
      <c r="A151" s="10" t="str">
        <f ca="1">IFERROR(__xludf.DUMMYFUNCTION("""COMPUTED_VALUE"""),"Gestión con valores para resultados")</f>
        <v>Gestión con valores para resultados</v>
      </c>
      <c r="B151" s="10" t="str">
        <f ca="1">IFERROR(__xludf.DUMMYFUNCTION("""COMPUTED_VALUE"""),"Gobierno Digital")</f>
        <v>Gobierno Digital</v>
      </c>
      <c r="C151" s="10" t="str">
        <f ca="1">IFERROR(__xludf.DUMMYFUNCTION("""COMPUTED_VALUE"""),"Actualizar el diagnóstico de Seguridad y Privacidad de la Información de la entidad")</f>
        <v>Actualizar el diagnóstico de Seguridad y Privacidad de la Información de la entidad</v>
      </c>
      <c r="D151" s="10" t="str">
        <f ca="1">IFERROR(__xludf.DUMMYFUNCTION("""COMPUTED_VALUE"""),"Diagnóstico del Modelo de Seguridad y Privacidad de la Información (MSPI) actualizado")</f>
        <v>Diagnóstico del Modelo de Seguridad y Privacidad de la Información (MSPI) actualizado</v>
      </c>
      <c r="E151" s="10" t="str">
        <f ca="1">IFERROR(__xludf.DUMMYFUNCTION("""COMPUTED_VALUE"""),"100% del diagnóstico del MSPI actualizado")</f>
        <v>100% del diagnóstico del MSPI actualizado</v>
      </c>
      <c r="F151" s="11">
        <f ca="1">IFERROR(__xludf.DUMMYFUNCTION("""COMPUTED_VALUE"""),44593)</f>
        <v>44593</v>
      </c>
      <c r="G151" s="11">
        <f ca="1">IFERROR(__xludf.DUMMYFUNCTION("""COMPUTED_VALUE"""),44925)</f>
        <v>44925</v>
      </c>
      <c r="H151" s="10" t="str">
        <f ca="1">IFERROR(__xludf.DUMMYFUNCTION("""COMPUTED_VALUE"""),"Director Operativo de Información y Servicios Digitales")</f>
        <v>Director Operativo de Información y Servicios Digitales</v>
      </c>
      <c r="I151" s="12">
        <f ca="1">IFERROR(__xludf.DUMMYFUNCTION("""COMPUTED_VALUE"""),0.9)</f>
        <v>0.9</v>
      </c>
      <c r="J151" s="10" t="str">
        <f ca="1">IFERROR(__xludf.DUMMYFUNCTION("""COMPUTED_VALUE"""),"Documento Diagnóstico MSPI aprobado y en constante actualización.")</f>
        <v>Documento Diagnóstico MSPI aprobado y en constante actualización.</v>
      </c>
      <c r="K151" s="11">
        <f ca="1">IFERROR(__xludf.DUMMYFUNCTION("""COMPUTED_VALUE"""),44650)</f>
        <v>44650</v>
      </c>
      <c r="L151" s="12">
        <f ca="1">IFERROR(__xludf.DUMMYFUNCTION("""COMPUTED_VALUE"""),0.9)</f>
        <v>0.9</v>
      </c>
      <c r="M151" s="10" t="str">
        <f ca="1">IFERROR(__xludf.DUMMYFUNCTION("""COMPUTED_VALUE"""),"Documento Diagnóstico MSPI aprobado y en constante actualización.")</f>
        <v>Documento Diagnóstico MSPI aprobado y en constante actualización.</v>
      </c>
      <c r="N151" s="11">
        <f ca="1">IFERROR(__xludf.DUMMYFUNCTION("""COMPUTED_VALUE"""),44742)</f>
        <v>44742</v>
      </c>
      <c r="O151" s="12">
        <f ca="1">IFERROR(__xludf.DUMMYFUNCTION("""COMPUTED_VALUE"""),0.95)</f>
        <v>0.95</v>
      </c>
      <c r="P151" s="10" t="str">
        <f ca="1">IFERROR(__xludf.DUMMYFUNCTION("""COMPUTED_VALUE"""),"Documento Diagnóstico MSPI aprobado y en constante actualización.")</f>
        <v>Documento Diagnóstico MSPI aprobado y en constante actualización.</v>
      </c>
      <c r="Q151" s="11">
        <f ca="1">IFERROR(__xludf.DUMMYFUNCTION("""COMPUTED_VALUE"""),44834)</f>
        <v>44834</v>
      </c>
      <c r="R151" s="12">
        <f ca="1">IFERROR(__xludf.DUMMYFUNCTION("""COMPUTED_VALUE"""),1)</f>
        <v>1</v>
      </c>
      <c r="S151" s="10" t="str">
        <f ca="1">IFERROR(__xludf.DUMMYFUNCTION("""COMPUTED_VALUE"""),"Documento Diagnóstico MSPI aprobado y en constante actualización.")</f>
        <v>Documento Diagnóstico MSPI aprobado y en constante actualización.</v>
      </c>
      <c r="T151" s="11">
        <f ca="1">IFERROR(__xludf.DUMMYFUNCTION("""COMPUTED_VALUE"""),44925)</f>
        <v>44925</v>
      </c>
      <c r="U151" s="10"/>
    </row>
    <row r="152" spans="1:21" ht="255" x14ac:dyDescent="0.2">
      <c r="A152" s="10" t="str">
        <f ca="1">IFERROR(__xludf.DUMMYFUNCTION("""COMPUTED_VALUE"""),"Gestión con valores para resultados")</f>
        <v>Gestión con valores para resultados</v>
      </c>
      <c r="B152" s="10" t="str">
        <f ca="1">IFERROR(__xludf.DUMMYFUNCTION("""COMPUTED_VALUE"""),"Gobierno Digital")</f>
        <v>Gobierno Digital</v>
      </c>
      <c r="C152" s="10" t="str">
        <f ca="1">IFERROR(__xludf.DUMMYFUNCTION("""COMPUTED_VALUE"""),"Actualizar los procedimientos de Seguridad y Privacidad de la información")</f>
        <v>Actualizar los procedimientos de Seguridad y Privacidad de la información</v>
      </c>
      <c r="D152" s="10" t="str">
        <f ca="1">IFERROR(__xludf.DUMMYFUNCTION("""COMPUTED_VALUE"""),"Procedimientos de Seguridad y Privacidad de la Información documentado")</f>
        <v>Procedimientos de Seguridad y Privacidad de la Información documentado</v>
      </c>
      <c r="E152" s="10" t="str">
        <f ca="1">IFERROR(__xludf.DUMMYFUNCTION("""COMPUTED_VALUE"""),"Documentos Procedimientos de Seguridad y Privacidad de la Información actualizado")</f>
        <v>Documentos Procedimientos de Seguridad y Privacidad de la Información actualizado</v>
      </c>
      <c r="F152" s="11">
        <f ca="1">IFERROR(__xludf.DUMMYFUNCTION("""COMPUTED_VALUE"""),44593)</f>
        <v>44593</v>
      </c>
      <c r="G152" s="11">
        <f ca="1">IFERROR(__xludf.DUMMYFUNCTION("""COMPUTED_VALUE"""),44925)</f>
        <v>44925</v>
      </c>
      <c r="H152" s="10" t="str">
        <f ca="1">IFERROR(__xludf.DUMMYFUNCTION("""COMPUTED_VALUE"""),"Director Operativo de Información y Servicios Digitales")</f>
        <v>Director Operativo de Información y Servicios Digitales</v>
      </c>
      <c r="I152" s="12">
        <f ca="1">IFERROR(__xludf.DUMMYFUNCTION("""COMPUTED_VALUE"""),1)</f>
        <v>1</v>
      </c>
      <c r="J152" s="10" t="str">
        <f ca="1">IFERROR(__xludf.DUMMYFUNCTION("""COMPUTED_VALUE"""),"SAIA/SIG/PROMOCIÓN DEL DESARROLLO ECONÓMICO/Otros documentos calidad/Tecnologia de la Información de la Comunicación Gobierno en Línea/PDE_Procedimientos_De_Seguridad_Y_Privacidad_De_La_Información_V2.pdf")</f>
        <v>SAIA/SIG/PROMOCIÓN DEL DESARROLLO ECONÓMICO/Otros documentos calidad/Tecnologia de la Información de la Comunicación Gobierno en Línea/PDE_Procedimientos_De_Seguridad_Y_Privacidad_De_La_Información_V2.pdf</v>
      </c>
      <c r="K152" s="11">
        <f ca="1">IFERROR(__xludf.DUMMYFUNCTION("""COMPUTED_VALUE"""),44650)</f>
        <v>44650</v>
      </c>
      <c r="L152" s="12">
        <f ca="1">IFERROR(__xludf.DUMMYFUNCTION("""COMPUTED_VALUE"""),0)</f>
        <v>0</v>
      </c>
      <c r="M152" s="10" t="str">
        <f ca="1">IFERROR(__xludf.DUMMYFUNCTION("""COMPUTED_VALUE"""),"SAIA/SIG/PROMOCIÓN DEL DESARROLLO ECONÓMICO/ Tecnologia de la Información de la Comunicación / PDE_Procedimientos_De_Seguridad_Y_Privacidad_De_La_Información_V2.pdf")</f>
        <v>SAIA/SIG/PROMOCIÓN DEL DESARROLLO ECONÓMICO/ Tecnologia de la Información de la Comunicación / PDE_Procedimientos_De_Seguridad_Y_Privacidad_De_La_Información_V2.pdf</v>
      </c>
      <c r="N152" s="11">
        <f ca="1">IFERROR(__xludf.DUMMYFUNCTION("""COMPUTED_VALUE"""),44742)</f>
        <v>44742</v>
      </c>
      <c r="O152" s="12">
        <f ca="1">IFERROR(__xludf.DUMMYFUNCTION("""COMPUTED_VALUE"""),0.9)</f>
        <v>0.9</v>
      </c>
      <c r="P152" s="10" t="str">
        <f ca="1">IFERROR(__xludf.DUMMYFUNCTION("""COMPUTED_VALUE"""),"SAIA/SIG/PROMOCIÓN DEL DESARROLLO ECONÓMICO/ Tecnologia de la Información de la Comunicación / PDE_Procedimientos_De_Seguridad_Y_Privacidad_De_La_Información_V2.pdf")</f>
        <v>SAIA/SIG/PROMOCIÓN DEL DESARROLLO ECONÓMICO/ Tecnologia de la Información de la Comunicación / PDE_Procedimientos_De_Seguridad_Y_Privacidad_De_La_Información_V2.pdf</v>
      </c>
      <c r="Q152" s="11">
        <f ca="1">IFERROR(__xludf.DUMMYFUNCTION("""COMPUTED_VALUE"""),44834)</f>
        <v>44834</v>
      </c>
      <c r="R152" s="12">
        <f ca="1">IFERROR(__xludf.DUMMYFUNCTION("""COMPUTED_VALUE"""),0.9)</f>
        <v>0.9</v>
      </c>
      <c r="S152" s="10" t="str">
        <f ca="1">IFERROR(__xludf.DUMMYFUNCTION("""COMPUTED_VALUE"""),"Documento publicado en SAIA/SIG/PROMOCIÓN DEL DESARROLLO ECONÓMICO/ Tecnologia de la Información de la Comunicación / PDE_Procedimientos_De_Seguridad_Y_Privacidad_De_La_Información_V2.pdf")</f>
        <v>Documento publicado en SAIA/SIG/PROMOCIÓN DEL DESARROLLO ECONÓMICO/ Tecnologia de la Información de la Comunicación / PDE_Procedimientos_De_Seguridad_Y_Privacidad_De_La_Información_V2.pdf</v>
      </c>
      <c r="T152" s="11">
        <f ca="1">IFERROR(__xludf.DUMMYFUNCTION("""COMPUTED_VALUE"""),44925)</f>
        <v>44925</v>
      </c>
      <c r="U152" s="10"/>
    </row>
    <row r="153" spans="1:21" ht="409.5" x14ac:dyDescent="0.2">
      <c r="A153" s="10" t="str">
        <f ca="1">IFERROR(__xludf.DUMMYFUNCTION("""COMPUTED_VALUE"""),"Gestión con valores para resultados")</f>
        <v>Gestión con valores para resultados</v>
      </c>
      <c r="B153" s="10" t="str">
        <f ca="1">IFERROR(__xludf.DUMMYFUNCTION("""COMPUTED_VALUE"""),"Gobierno Digital")</f>
        <v>Gobierno Digital</v>
      </c>
      <c r="C153" s="10" t="str">
        <f ca="1">IFERROR(__xludf.DUMMYFUNCTION("""COMPUTED_VALUE"""),"Actualizar los riesgos de seguridad y privacidad de la información de la entidad")</f>
        <v>Actualizar los riesgos de seguridad y privacidad de la información de la entidad</v>
      </c>
      <c r="D153" s="10" t="str">
        <f ca="1">IFERROR(__xludf.DUMMYFUNCTION("""COMPUTED_VALUE"""),"Actualización y seguimiento al Mapa de riesgos de seguridad digital documentados")</f>
        <v>Actualización y seguimiento al Mapa de riesgos de seguridad digital documentados</v>
      </c>
      <c r="E153" s="10" t="str">
        <f ca="1">IFERROR(__xludf.DUMMYFUNCTION("""COMPUTED_VALUE"""),"100% de seguimientos al mapa de riegos de seguridad digital")</f>
        <v>100% de seguimientos al mapa de riegos de seguridad digital</v>
      </c>
      <c r="F153" s="11">
        <f ca="1">IFERROR(__xludf.DUMMYFUNCTION("""COMPUTED_VALUE"""),44593)</f>
        <v>44593</v>
      </c>
      <c r="G153" s="11">
        <f ca="1">IFERROR(__xludf.DUMMYFUNCTION("""COMPUTED_VALUE"""),44925)</f>
        <v>44925</v>
      </c>
      <c r="H153" s="10" t="str">
        <f ca="1">IFERROR(__xludf.DUMMYFUNCTION("""COMPUTED_VALUE"""),"Director Operativo de Información y Servicios Digitales")</f>
        <v>Director Operativo de Información y Servicios Digitales</v>
      </c>
      <c r="I153" s="12">
        <f ca="1">IFERROR(__xludf.DUMMYFUNCTION("""COMPUTED_VALUE"""),0)</f>
        <v>0</v>
      </c>
      <c r="J153" s="10" t="str">
        <f ca="1">IFERROR(__xludf.DUMMYFUNCTION("""COMPUTED_VALUE"""),"Mapa de riesgos de seguridad digital: SAIA/SIG/PROMOCIÓN DEL DESARROLLO ECONÓMICO/Otros documentos calidad/Tecnologia de la Información de la Comunicación Gobierno en Línea/PDE_Mapa_de_Riesgos_Seguridad_Digital_V4.xlsx")</f>
        <v>Mapa de riesgos de seguridad digital: SAIA/SIG/PROMOCIÓN DEL DESARROLLO ECONÓMICO/Otros documentos calidad/Tecnologia de la Información de la Comunicación Gobierno en Línea/PDE_Mapa_de_Riesgos_Seguridad_Digital_V4.xlsx</v>
      </c>
      <c r="K153" s="11">
        <f ca="1">IFERROR(__xludf.DUMMYFUNCTION("""COMPUTED_VALUE"""),44650)</f>
        <v>44650</v>
      </c>
      <c r="L153" s="12">
        <f ca="1">IFERROR(__xludf.DUMMYFUNCTION("""COMPUTED_VALUE"""),0.5)</f>
        <v>0.5</v>
      </c>
      <c r="M153" s="10" t="str">
        <f ca="1">IFERROR(__xludf.DUMMYFUNCTION("""COMPUTED_VALUE"""),"Mapa de riesgos de seguridad digital: SAIA/SIG/PROMOCIÓN DEL DESARROLLO ECONÓMICO/ Tecnologia de la Información y la Comunicación / Otros documentos calidad/ PDE_Mapa_de_Riesgos_Seguridad_Digital_V4.xlsx
 Seguimiento primer cuatrimestre de la vigencia d"&amp;"el mapa de riesgos de seguridd digital, en custodia de la Secretaría de Tecnologías de la Información y la Comunicación.")</f>
        <v>Mapa de riesgos de seguridad digital: SAIA/SIG/PROMOCIÓN DEL DESARROLLO ECONÓMICO/ Tecnologia de la Información y la Comunicación / Otros documentos calidad/ PDE_Mapa_de_Riesgos_Seguridad_Digital_V4.xlsx
 Seguimiento primer cuatrimestre de la vigencia del mapa de riesgos de seguridd digital, en custodia de la Secretaría de Tecnologías de la Información y la Comunicación.</v>
      </c>
      <c r="N153" s="11">
        <f ca="1">IFERROR(__xludf.DUMMYFUNCTION("""COMPUTED_VALUE"""),44742)</f>
        <v>44742</v>
      </c>
      <c r="O153" s="12">
        <f ca="1">IFERROR(__xludf.DUMMYFUNCTION("""COMPUTED_VALUE"""),0.75)</f>
        <v>0.75</v>
      </c>
      <c r="P153" s="10" t="str">
        <f ca="1">IFERROR(__xludf.DUMMYFUNCTION("""COMPUTED_VALUE"""),"Mapa de riesgos de seguridad digital: SAIA/SIG/PROMOCIÓN DEL DESARROLLO ECONÓMICO/ Tecnologia de la Información y la Comunicación / Otros documentos calidad/ PDE_Mapa_de_Riesgos_Seguridad_Digital_V4.xlsx
 Seguimiento segundo cuatrimestre de la vigencia "&amp;"del mapa de riesgos de seguridad digital, en custodia de la Secretaría de Tecnologías de la Información y la Comunicación.")</f>
        <v>Mapa de riesgos de seguridad digital: SAIA/SIG/PROMOCIÓN DEL DESARROLLO ECONÓMICO/ Tecnologia de la Información y la Comunicación / Otros documentos calidad/ PDE_Mapa_de_Riesgos_Seguridad_Digital_V4.xlsx
 Seguimiento segundo cuatrimestre de la vigencia del mapa de riesgos de seguridad digital, en custodia de la Secretaría de Tecnologías de la Información y la Comunicación.</v>
      </c>
      <c r="Q153" s="11">
        <f ca="1">IFERROR(__xludf.DUMMYFUNCTION("""COMPUTED_VALUE"""),44834)</f>
        <v>44834</v>
      </c>
      <c r="R153" s="12">
        <f ca="1">IFERROR(__xludf.DUMMYFUNCTION("""COMPUTED_VALUE"""),1)</f>
        <v>1</v>
      </c>
      <c r="S153" s="10" t="str">
        <f ca="1">IFERROR(__xludf.DUMMYFUNCTION("""COMPUTED_VALUE"""),"Mapa de riesgos de seguridad digital: SAIA/SIG/PROMOCIÓN DEL DESARROLLO ECONÓMICO/ Tecnologia de la Información y la Comunicación / Otros documentos calidad/ PDE_Mapa_de_Riesgos_Seguridad_Digital_V4.xlsx
 Seguimiento tercer cuatrimestre de la vigencia d"&amp;"el mapa de riesgos de seguridad digital, en custodia de la Secretaría de Tecnologías de la Información y la Comunicación.")</f>
        <v>Mapa de riesgos de seguridad digital: SAIA/SIG/PROMOCIÓN DEL DESARROLLO ECONÓMICO/ Tecnologia de la Información y la Comunicación / Otros documentos calidad/ PDE_Mapa_de_Riesgos_Seguridad_Digital_V4.xlsx
 Seguimiento tercer cuatrimestre de la vigencia del mapa de riesgos de seguridad digital, en custodia de la Secretaría de Tecnologías de la Información y la Comunicación.</v>
      </c>
      <c r="T153" s="11">
        <f ca="1">IFERROR(__xludf.DUMMYFUNCTION("""COMPUTED_VALUE"""),44925)</f>
        <v>44925</v>
      </c>
      <c r="U153" s="10"/>
    </row>
    <row r="154" spans="1:21" ht="395.25" x14ac:dyDescent="0.2">
      <c r="A154" s="10" t="str">
        <f ca="1">IFERROR(__xludf.DUMMYFUNCTION("""COMPUTED_VALUE"""),"Gestión con valores para resultados")</f>
        <v>Gestión con valores para resultados</v>
      </c>
      <c r="B154" s="10" t="str">
        <f ca="1">IFERROR(__xludf.DUMMYFUNCTION("""COMPUTED_VALUE"""),"Gobierno Digital")</f>
        <v>Gobierno Digital</v>
      </c>
      <c r="C154" s="10" t="str">
        <f ca="1">IFERROR(__xludf.DUMMYFUNCTION("""COMPUTED_VALUE"""),"Implementar el plan de tratamiento de riesgos de seguridad de la información")</f>
        <v>Implementar el plan de tratamiento de riesgos de seguridad de la información</v>
      </c>
      <c r="D154" s="10" t="str">
        <f ca="1">IFERROR(__xludf.DUMMYFUNCTION("""COMPUTED_VALUE"""),"Plan de tratamiento de riesgos documentado")</f>
        <v>Plan de tratamiento de riesgos documentado</v>
      </c>
      <c r="E154" s="10" t="str">
        <f ca="1">IFERROR(__xludf.DUMMYFUNCTION("""COMPUTED_VALUE"""),"100% de seguimientos al Plan de tratamiento de riesgos de seguridad de la información")</f>
        <v>100% de seguimientos al Plan de tratamiento de riesgos de seguridad de la información</v>
      </c>
      <c r="F154" s="11">
        <f ca="1">IFERROR(__xludf.DUMMYFUNCTION("""COMPUTED_VALUE"""),44593)</f>
        <v>44593</v>
      </c>
      <c r="G154" s="11">
        <f ca="1">IFERROR(__xludf.DUMMYFUNCTION("""COMPUTED_VALUE"""),44925)</f>
        <v>44925</v>
      </c>
      <c r="H154" s="10" t="str">
        <f ca="1">IFERROR(__xludf.DUMMYFUNCTION("""COMPUTED_VALUE"""),"Director Operativo de Información y Servicios Digitales")</f>
        <v>Director Operativo de Información y Servicios Digitales</v>
      </c>
      <c r="I154" s="12">
        <f ca="1">IFERROR(__xludf.DUMMYFUNCTION("""COMPUTED_VALUE"""),0)</f>
        <v>0</v>
      </c>
      <c r="J154" s="10" t="str">
        <f ca="1">IFERROR(__xludf.DUMMYFUNCTION("""COMPUTED_VALUE"""),"SAIA/SIG/PROMOCIÓN DEL DESARROLLO ECONÓMICO/Otros documentos calidad/Tecnologia de la Información de la Comunicación Gobierno en Línea/PDE_Plan_De_Tratamiento_De_Riesgos_De_Seguridad_V1.xlsx")</f>
        <v>SAIA/SIG/PROMOCIÓN DEL DESARROLLO ECONÓMICO/Otros documentos calidad/Tecnologia de la Información de la Comunicación Gobierno en Línea/PDE_Plan_De_Tratamiento_De_Riesgos_De_Seguridad_V1.xlsx</v>
      </c>
      <c r="K154" s="11">
        <f ca="1">IFERROR(__xludf.DUMMYFUNCTION("""COMPUTED_VALUE"""),44650)</f>
        <v>44650</v>
      </c>
      <c r="L154" s="12">
        <f ca="1">IFERROR(__xludf.DUMMYFUNCTION("""COMPUTED_VALUE"""),0.5)</f>
        <v>0.5</v>
      </c>
      <c r="M154" s="10" t="str">
        <f ca="1">IFERROR(__xludf.DUMMYFUNCTION("""COMPUTED_VALUE"""),"SAIA/SIG/PROMOCIÓN DEL DESARROLLO ECONÓMICO/Otros documentos calidad/ Tecnologia de la Información y la Comunicación / PDE_Plan_De_Tratamiento_De_Riesgos_De_Seguridad_V1.xlsx")</f>
        <v>SAIA/SIG/PROMOCIÓN DEL DESARROLLO ECONÓMICO/Otros documentos calidad/ Tecnologia de la Información y la Comunicación / PDE_Plan_De_Tratamiento_De_Riesgos_De_Seguridad_V1.xlsx</v>
      </c>
      <c r="N154" s="11">
        <f ca="1">IFERROR(__xludf.DUMMYFUNCTION("""COMPUTED_VALUE"""),44742)</f>
        <v>44742</v>
      </c>
      <c r="O154" s="12">
        <f ca="1">IFERROR(__xludf.DUMMYFUNCTION("""COMPUTED_VALUE"""),0.75)</f>
        <v>0.75</v>
      </c>
      <c r="P154" s="10" t="str">
        <f ca="1">IFERROR(__xludf.DUMMYFUNCTION("""COMPUTED_VALUE"""),"SAIA/SIG/PROMOCIÓN DEL DESARROLLO ECONÓMICO/Otros documentos calidad/ Tecnologia de la Información y la Comunicación / PDE_Plan_De_Tratamiento_De_Riesgos_De_Seguridad_V1.xlsx
 Seguimientos en custodia de la Secretaía de Tecnologías de la Información y l"&amp;"a Comunicación")</f>
        <v>SAIA/SIG/PROMOCIÓN DEL DESARROLLO ECONÓMICO/Otros documentos calidad/ Tecnologia de la Información y la Comunicación / PDE_Plan_De_Tratamiento_De_Riesgos_De_Seguridad_V1.xlsx
 Seguimientos en custodia de la Secretaía de Tecnologías de la Información y la Comunicación</v>
      </c>
      <c r="Q154" s="11">
        <f ca="1">IFERROR(__xludf.DUMMYFUNCTION("""COMPUTED_VALUE"""),44834)</f>
        <v>44834</v>
      </c>
      <c r="R154" s="12">
        <f ca="1">IFERROR(__xludf.DUMMYFUNCTION("""COMPUTED_VALUE"""),1)</f>
        <v>1</v>
      </c>
      <c r="S154" s="10" t="str">
        <f ca="1">IFERROR(__xludf.DUMMYFUNCTION("""COMPUTED_VALUE"""),"SAIA/SIG/PROMOCIÓN DEL DESARROLLO ECONÓMICO/Otros documentos calidad/ Tecnologia de la Información y la Comunicación / PDE_Plan_De_Tratamiento_De_Riesgos_De_Seguridad_V1.xlsx
 Seguimientos en custodia de la Secretaía de Tecnologías de la Información y l"&amp;"a Comunicación")</f>
        <v>SAIA/SIG/PROMOCIÓN DEL DESARROLLO ECONÓMICO/Otros documentos calidad/ Tecnologia de la Información y la Comunicación / PDE_Plan_De_Tratamiento_De_Riesgos_De_Seguridad_V1.xlsx
 Seguimientos en custodia de la Secretaía de Tecnologías de la Información y la Comunicación</v>
      </c>
      <c r="T154" s="11">
        <f ca="1">IFERROR(__xludf.DUMMYFUNCTION("""COMPUTED_VALUE"""),44925)</f>
        <v>44925</v>
      </c>
      <c r="U154" s="10"/>
    </row>
    <row r="155" spans="1:21" ht="178.5" x14ac:dyDescent="0.2">
      <c r="A155" s="10" t="str">
        <f ca="1">IFERROR(__xludf.DUMMYFUNCTION("""COMPUTED_VALUE"""),"Gestión con valores para resultados")</f>
        <v>Gestión con valores para resultados</v>
      </c>
      <c r="B155" s="10" t="str">
        <f ca="1">IFERROR(__xludf.DUMMYFUNCTION("""COMPUTED_VALUE"""),"Gobierno Digital")</f>
        <v>Gobierno Digital</v>
      </c>
      <c r="C155" s="10" t="str">
        <f ca="1">IFERROR(__xludf.DUMMYFUNCTION("""COMPUTED_VALUE"""),"Acompañar las iniciativas de ciudad inteligente definidas en la entidad")</f>
        <v>Acompañar las iniciativas de ciudad inteligente definidas en la entidad</v>
      </c>
      <c r="D155" s="10" t="str">
        <f ca="1">IFERROR(__xludf.DUMMYFUNCTION("""COMPUTED_VALUE"""),"Acompañamiento en la implementación de las iniciativas de ciudad inteligente documentadas")</f>
        <v>Acompañamiento en la implementación de las iniciativas de ciudad inteligente documentadas</v>
      </c>
      <c r="E155" s="10" t="str">
        <f ca="1">IFERROR(__xludf.DUMMYFUNCTION("""COMPUTED_VALUE"""),"Número de iniciativas ejecutadas Pereira Ciudad Inteligente")</f>
        <v>Número de iniciativas ejecutadas Pereira Ciudad Inteligente</v>
      </c>
      <c r="F155" s="11">
        <f ca="1">IFERROR(__xludf.DUMMYFUNCTION("""COMPUTED_VALUE"""),44593)</f>
        <v>44593</v>
      </c>
      <c r="G155" s="11">
        <f ca="1">IFERROR(__xludf.DUMMYFUNCTION("""COMPUTED_VALUE"""),44925)</f>
        <v>44925</v>
      </c>
      <c r="H155" s="10" t="str">
        <f ca="1">IFERROR(__xludf.DUMMYFUNCTION("""COMPUTED_VALUE"""),"Director Operativo de Información y Servicios Digitales
 Director Operativo de Infraestructura Tecnológica")</f>
        <v>Director Operativo de Información y Servicios Digitales
 Director Operativo de Infraestructura Tecnológica</v>
      </c>
      <c r="I155" s="12">
        <f ca="1">IFERROR(__xludf.DUMMYFUNCTION("""COMPUTED_VALUE"""),0.27)</f>
        <v>0.27</v>
      </c>
      <c r="J155" s="10" t="str">
        <f ca="1">IFERROR(__xludf.DUMMYFUNCTION("""COMPUTED_VALUE"""),"Avance Iniciativas indicado por secretarías:
 https://drive.google.com/file/d/14Jhk54nXvr-kghv1Wce4Xbzf_Mo6LLbI/view?usp=sharing")</f>
        <v>Avance Iniciativas indicado por secretarías:
 https://drive.google.com/file/d/14Jhk54nXvr-kghv1Wce4Xbzf_Mo6LLbI/view?usp=sharing</v>
      </c>
      <c r="K155" s="11">
        <f ca="1">IFERROR(__xludf.DUMMYFUNCTION("""COMPUTED_VALUE"""),44650)</f>
        <v>44650</v>
      </c>
      <c r="L155" s="12">
        <f ca="1">IFERROR(__xludf.DUMMYFUNCTION("""COMPUTED_VALUE"""),0.35)</f>
        <v>0.35</v>
      </c>
      <c r="M155" s="10" t="str">
        <f ca="1">IFERROR(__xludf.DUMMYFUNCTION("""COMPUTED_VALUE"""),"Avance Iniciativas indicado por secretarías:
 https://drive.google.com/drive/folders/1SXuuLjEP89upYBV9i2aFA6bJbYkMDuu7?usp=sharing")</f>
        <v>Avance Iniciativas indicado por secretarías:
 https://drive.google.com/drive/folders/1SXuuLjEP89upYBV9i2aFA6bJbYkMDuu7?usp=sharing</v>
      </c>
      <c r="N155" s="11">
        <f ca="1">IFERROR(__xludf.DUMMYFUNCTION("""COMPUTED_VALUE"""),44742)</f>
        <v>44742</v>
      </c>
      <c r="O155" s="12">
        <f ca="1">IFERROR(__xludf.DUMMYFUNCTION("""COMPUTED_VALUE"""),0.7)</f>
        <v>0.7</v>
      </c>
      <c r="P155" s="10" t="str">
        <f ca="1">IFERROR(__xludf.DUMMYFUNCTION("""COMPUTED_VALUE"""),"Avance Iniciativas indicado por secretarías:
 https://drive.google.com/drive/folders/1Dqp4mM0cGIJJjP4kKQYT6bqPQT68RJEz?usp=sharing")</f>
        <v>Avance Iniciativas indicado por secretarías:
 https://drive.google.com/drive/folders/1Dqp4mM0cGIJJjP4kKQYT6bqPQT68RJEz?usp=sharing</v>
      </c>
      <c r="Q155" s="11">
        <f ca="1">IFERROR(__xludf.DUMMYFUNCTION("""COMPUTED_VALUE"""),44834)</f>
        <v>44834</v>
      </c>
      <c r="R155" s="12">
        <f ca="1">IFERROR(__xludf.DUMMYFUNCTION("""COMPUTED_VALUE"""),0.87)</f>
        <v>0.87</v>
      </c>
      <c r="S155" s="10" t="str">
        <f ca="1">IFERROR(__xludf.DUMMYFUNCTION("""COMPUTED_VALUE"""),"Avance Iniciativas indicado por secretarías:
 https://docs.google.com/spreadsheets/d/1axf33WRN17GKO2gqHhoKgrqx94R3hnufQXXWLof6gIk/edit?usp=share_link")</f>
        <v>Avance Iniciativas indicado por secretarías:
 https://docs.google.com/spreadsheets/d/1axf33WRN17GKO2gqHhoKgrqx94R3hnufQXXWLof6gIk/edit?usp=share_link</v>
      </c>
      <c r="T155" s="11">
        <f ca="1">IFERROR(__xludf.DUMMYFUNCTION("""COMPUTED_VALUE"""),44925)</f>
        <v>44925</v>
      </c>
      <c r="U155" s="10"/>
    </row>
    <row r="156" spans="1:21" ht="409.5" x14ac:dyDescent="0.2">
      <c r="A156" s="10" t="str">
        <f ca="1">IFERROR(__xludf.DUMMYFUNCTION("""COMPUTED_VALUE"""),"Gestión con valores para resultados")</f>
        <v>Gestión con valores para resultados</v>
      </c>
      <c r="B156" s="10" t="str">
        <f ca="1">IFERROR(__xludf.DUMMYFUNCTION("""COMPUTED_VALUE"""),"Gobierno Digital")</f>
        <v>Gobierno Digital</v>
      </c>
      <c r="C156" s="10" t="str">
        <f ca="1">IFERROR(__xludf.DUMMYFUNCTION("""COMPUTED_VALUE"""),"Utilizar servicios de computación en la nube para la operación de la entidad")</f>
        <v>Utilizar servicios de computación en la nube para la operación de la entidad</v>
      </c>
      <c r="D156" s="10" t="str">
        <f ca="1">IFERROR(__xludf.DUMMYFUNCTION("""COMPUTED_VALUE"""),"Uso de aplicaciones en la nube para la operación de la entidad")</f>
        <v>Uso de aplicaciones en la nube para la operación de la entidad</v>
      </c>
      <c r="E156" s="10" t="str">
        <f ca="1">IFERROR(__xludf.DUMMYFUNCTION("""COMPUTED_VALUE"""),"100% de uso de las aplicaciones en la nube disponibles en la entidad")</f>
        <v>100% de uso de las aplicaciones en la nube disponibles en la entidad</v>
      </c>
      <c r="F156" s="11">
        <f ca="1">IFERROR(__xludf.DUMMYFUNCTION("""COMPUTED_VALUE"""),44593)</f>
        <v>44593</v>
      </c>
      <c r="G156" s="11">
        <f ca="1">IFERROR(__xludf.DUMMYFUNCTION("""COMPUTED_VALUE"""),44925)</f>
        <v>44925</v>
      </c>
      <c r="H156" s="10" t="str">
        <f ca="1">IFERROR(__xludf.DUMMYFUNCTION("""COMPUTED_VALUE"""),"Director Operativo de Infraestructura Tecnológica")</f>
        <v>Director Operativo de Infraestructura Tecnológica</v>
      </c>
      <c r="I156" s="12">
        <f ca="1">IFERROR(__xludf.DUMMYFUNCTION("""COMPUTED_VALUE"""),1)</f>
        <v>1</v>
      </c>
      <c r="J156" s="10" t="str">
        <f ca="1">IFERROR(__xludf.DUMMYFUNCTION("""COMPUTED_VALUE"""),"La entidad hace uso de las siguientes aplicaciones en la nube, incluidas en el Catálogo de sistemas de información: SAIA / Módulo SIG / Promoción del Desarrollo Económico / Tecnología de la Información y la Comunicación / Otros documentos de calidad / 1.P"&amp;"DE_Catalogo_Sistemas_de_Informacion_V3.pdf
  • Correo electrónico. 
  • Aplicativos web: 
 Sistema de Políticas Públicas (SPP)
 Sistema de Información de Salud Pública (SISAP) 
 Sistema Integrado de Información Financiera (SIIFWEB)
 Sistema de Admin"&amp;"istración de Información de Archivos (SAIA) 
 Aireplus (Impuestos Plus - Aire Plus) 
 Mantis Bug Tracker (Mantis)
 MIN
 Digiturno 
 Siprojweb 
 Sondeox")</f>
        <v>La entidad hace uso de las siguientes aplicaciones en la nube, incluidas en el Catálogo de sistemas de información: SAIA / Módulo SIG / Promoción del Desarrollo Económico / Tecnología de la Información y la Comunicación / Otros documentos de calidad / 1.PDE_Catalogo_Sistemas_de_Informacion_V3.pdf
  • Correo electrónico. 
  • Aplicativos web: 
 Sistema de Políticas Públicas (SPP)
 Sistema de Información de Salud Pública (SISAP) 
 Sistema Integrado de Información Financiera (SIIFWEB)
 Sistema de Administración de Información de Archivos (SAIA) 
 Aireplus (Impuestos Plus - Aire Plus) 
 Mantis Bug Tracker (Mantis)
 MIN
 Digiturno 
 Siprojweb 
 Sondeox</v>
      </c>
      <c r="K156" s="11">
        <f ca="1">IFERROR(__xludf.DUMMYFUNCTION("""COMPUTED_VALUE"""),44650)</f>
        <v>44650</v>
      </c>
      <c r="L156" s="12">
        <f ca="1">IFERROR(__xludf.DUMMYFUNCTION("""COMPUTED_VALUE"""),1)</f>
        <v>1</v>
      </c>
      <c r="M156" s="10" t="str">
        <f ca="1">IFERROR(__xludf.DUMMYFUNCTION("""COMPUTED_VALUE"""),"La entidad hace uso de las siguientes aplicaciones en la nube, incluidas en el Catálogo de sistemas de información: SAIA / Módulo SIG / Promoción del Desarrollo Económico / Tecnología de la Información y la Comunicación / Otros documentos de calidad / 1.P"&amp;"DE_Catalogo_Sistemas_de_Informacion_V3.pdf
  • Correo electrónico. 
  • Aplicativos web: 
 Sistema de Políticas Públicas (SPP)
 Sistema de Información de Salud Pública (SISAP) 
 Sistema Integrado de Información Financiera (SIIFWEB)
 Sistema de Admin"&amp;"istración de Información de Archivos (SAIA) 
 Aireplus (Impuestos Plus - Aire Plus) 
 Mantis Bug Tracker (Mantis)
 MIN
 Digiturno 
 Siprojweb 
 Sondeox")</f>
        <v>La entidad hace uso de las siguientes aplicaciones en la nube, incluidas en el Catálogo de sistemas de información: SAIA / Módulo SIG / Promoción del Desarrollo Económico / Tecnología de la Información y la Comunicación / Otros documentos de calidad / 1.PDE_Catalogo_Sistemas_de_Informacion_V3.pdf
  • Correo electrónico. 
  • Aplicativos web: 
 Sistema de Políticas Públicas (SPP)
 Sistema de Información de Salud Pública (SISAP) 
 Sistema Integrado de Información Financiera (SIIFWEB)
 Sistema de Administración de Información de Archivos (SAIA) 
 Aireplus (Impuestos Plus - Aire Plus) 
 Mantis Bug Tracker (Mantis)
 MIN
 Digiturno 
 Siprojweb 
 Sondeox</v>
      </c>
      <c r="N156" s="11">
        <f ca="1">IFERROR(__xludf.DUMMYFUNCTION("""COMPUTED_VALUE"""),44742)</f>
        <v>44742</v>
      </c>
      <c r="O156" s="12">
        <f ca="1">IFERROR(__xludf.DUMMYFUNCTION("""COMPUTED_VALUE"""),1)</f>
        <v>1</v>
      </c>
      <c r="P156" s="10" t="str">
        <f ca="1">IFERROR(__xludf.DUMMYFUNCTION("""COMPUTED_VALUE"""),"La entidad hace uso de las siguientes aplicaciones en la nube, incluidas en el Catálogo de sistemas de información: SAIA / Módulo SIG / Promoción del Desarrollo Económico / Tecnología de la Información y la Comunicación / Otros documentos de calidad / 1.P"&amp;"DE_Catalogo_Sistemas_de_Informacion_V3.pdf
  • Correo electrónico. 
  • Aplicativos web: 
 Sistema de Políticas Públicas (SPP)
 Sistema de Información de Salud Pública (SISAP) 
 Sistema Integrado de Información Financiera (SIIFWEB)
 Sistema de Admin"&amp;"istración de Información de Archivos (SAIA) 
 Aireplus (Impuestos Plus - Aire Plus) 
 Mantis Bug Tracker (Mantis)
 MIN
 Digiturno 
 Siprojweb 
 Sondeox")</f>
        <v>La entidad hace uso de las siguientes aplicaciones en la nube, incluidas en el Catálogo de sistemas de información: SAIA / Módulo SIG / Promoción del Desarrollo Económico / Tecnología de la Información y la Comunicación / Otros documentos de calidad / 1.PDE_Catalogo_Sistemas_de_Informacion_V3.pdf
  • Correo electrónico. 
  • Aplicativos web: 
 Sistema de Políticas Públicas (SPP)
 Sistema de Información de Salud Pública (SISAP) 
 Sistema Integrado de Información Financiera (SIIFWEB)
 Sistema de Administración de Información de Archivos (SAIA) 
 Aireplus (Impuestos Plus - Aire Plus) 
 Mantis Bug Tracker (Mantis)
 MIN
 Digiturno 
 Siprojweb 
 Sondeox</v>
      </c>
      <c r="Q156" s="11">
        <f ca="1">IFERROR(__xludf.DUMMYFUNCTION("""COMPUTED_VALUE"""),44834)</f>
        <v>44834</v>
      </c>
      <c r="R156" s="12">
        <f ca="1">IFERROR(__xludf.DUMMYFUNCTION("""COMPUTED_VALUE"""),1)</f>
        <v>1</v>
      </c>
      <c r="S156" s="10" t="str">
        <f ca="1">IFERROR(__xludf.DUMMYFUNCTION("""COMPUTED_VALUE"""),"La entidad hace uso de las siguientes aplicaciones en la nube, incluidas en el Catálogo de sistemas de información: SAIA / Módulo SIG / Promoción del Desarrollo Económico / Tecnología de la Información y la Comunicación / Otros documentos de calidad / 1.P"&amp;"DE_Catalogo_Sistemas_de_Informacion_V3.pdf
  • Correo electrónico. 
  • Aplicativos web: 
 Sistema de Políticas Públicas (SPP)
 Sistema de Información de Salud Pública (SISAP) 
 Sistema Integrado de Información Financiera (SIIFWEB)
 Sistema de Admin"&amp;"istración de Información de Archivos (SAIA) 
 Aireplus (Impuestos Plus - Aire Plus) 
 Mantis Bug Tracker (Mantis)
 MIN
 Digiturno 
 Siprojweb 
 Sondeox")</f>
        <v>La entidad hace uso de las siguientes aplicaciones en la nube, incluidas en el Catálogo de sistemas de información: SAIA / Módulo SIG / Promoción del Desarrollo Económico / Tecnología de la Información y la Comunicación / Otros documentos de calidad / 1.PDE_Catalogo_Sistemas_de_Informacion_V3.pdf
  • Correo electrónico. 
  • Aplicativos web: 
 Sistema de Políticas Públicas (SPP)
 Sistema de Información de Salud Pública (SISAP) 
 Sistema Integrado de Información Financiera (SIIFWEB)
 Sistema de Administración de Información de Archivos (SAIA) 
 Aireplus (Impuestos Plus - Aire Plus) 
 Mantis Bug Tracker (Mantis)
 MIN
 Digiturno 
 Siprojweb 
 Sondeox</v>
      </c>
      <c r="T156" s="11">
        <f ca="1">IFERROR(__xludf.DUMMYFUNCTION("""COMPUTED_VALUE"""),44925)</f>
        <v>44925</v>
      </c>
      <c r="U156" s="10"/>
    </row>
    <row r="157" spans="1:21" ht="267.75" x14ac:dyDescent="0.2">
      <c r="A157" s="10" t="str">
        <f ca="1">IFERROR(__xludf.DUMMYFUNCTION("""COMPUTED_VALUE"""),"GESTIÓN CON VALORES PARA EL RESULTADO")</f>
        <v>GESTIÓN CON VALORES PARA EL RESULTADO</v>
      </c>
      <c r="B157" s="10" t="str">
        <f ca="1">IFERROR(__xludf.DUMMYFUNCTION("""COMPUTED_VALUE"""),"DEFENSA JURÍDICA")</f>
        <v>DEFENSA JURÍDICA</v>
      </c>
      <c r="C157" s="10" t="str">
        <f ca="1">IFERROR(__xludf.DUMMYFUNCTION("""COMPUTED_VALUE"""),"La entidad hace seguimiento al plan de accion y al(los) indicador(es) formulado(s) en sus políticas de prevención del daño antijurídico.")</f>
        <v>La entidad hace seguimiento al plan de accion y al(los) indicador(es) formulado(s) en sus políticas de prevención del daño antijurídico.</v>
      </c>
      <c r="D157" s="10" t="str">
        <f ca="1">IFERROR(__xludf.DUMMYFUNCTION("""COMPUTED_VALUE"""),"Socialización y seguimiento de la política de prevención del daño antijurídico, formulada en el año 2017, actualizada mediante Resolución de Formulación N° 14142 del 11/12/2019 y Resolución de Adopción N° 14811 del 17/12/2019, apoyando a la Dirección de A"&amp;"suntos Estratégicos suministrando la información registrada en el Sistema de Información de Proceso Judiciales Siproj y del ejercicio de defensa realizado por los apoderados judiciales de forma mensual.")</f>
        <v>Socialización y seguimiento de la política de prevención del daño antijurídico, formulada en el año 2017, actualizada mediante Resolución de Formulación N° 14142 del 11/12/2019 y Resolución de Adopción N° 14811 del 17/12/2019, apoyando a la Dirección de Asuntos Estratégicos suministrando la información registrada en el Sistema de Información de Proceso Judiciales Siproj y del ejercicio de defensa realizado por los apoderados judiciales de forma mensual.</v>
      </c>
      <c r="E157" s="10" t="str">
        <f ca="1">IFERROR(__xludf.DUMMYFUNCTION("""COMPUTED_VALUE"""),"Actividad ejecutada al 100%, según lo requerido")</f>
        <v>Actividad ejecutada al 100%, según lo requerido</v>
      </c>
      <c r="F157" s="11">
        <f ca="1">IFERROR(__xludf.DUMMYFUNCTION("""COMPUTED_VALUE"""),44562)</f>
        <v>44562</v>
      </c>
      <c r="G157" s="11"/>
      <c r="H157" s="10"/>
      <c r="I157" s="12"/>
      <c r="J157" s="10"/>
      <c r="K157" s="11"/>
      <c r="L157" s="12"/>
      <c r="M157" s="10"/>
      <c r="N157" s="11"/>
      <c r="O157" s="12"/>
      <c r="P157" s="10"/>
      <c r="Q157" s="11"/>
      <c r="R157" s="12"/>
      <c r="S157" s="10"/>
      <c r="T157" s="11"/>
      <c r="U157" s="10"/>
    </row>
    <row r="158" spans="1:21" ht="114.75" x14ac:dyDescent="0.2">
      <c r="A158" s="10"/>
      <c r="B158" s="10"/>
      <c r="C158" s="10"/>
      <c r="D158" s="10" t="str">
        <f ca="1">IFERROR(__xludf.DUMMYFUNCTION("""COMPUTED_VALUE"""),"Elaboración de diagnóstico de los resultados de la aplicación de la Política de Prevención del Daño antijurídico y presentación de informes al Comité de Conciliación de la Entidad. ")</f>
        <v xml:space="preserve">Elaboración de diagnóstico de los resultados de la aplicación de la Política de Prevención del Daño antijurídico y presentación de informes al Comité de Conciliación de la Entidad. </v>
      </c>
      <c r="E158" s="10" t="str">
        <f ca="1">IFERROR(__xludf.DUMMYFUNCTION("""COMPUTED_VALUE"""),"Actividad ejecutada al 100%")</f>
        <v>Actividad ejecutada al 100%</v>
      </c>
      <c r="F158" s="11">
        <f ca="1">IFERROR(__xludf.DUMMYFUNCTION("""COMPUTED_VALUE"""),44562)</f>
        <v>44562</v>
      </c>
      <c r="G158" s="11"/>
      <c r="H158" s="10"/>
      <c r="I158" s="12"/>
      <c r="J158" s="10"/>
      <c r="K158" s="11"/>
      <c r="L158" s="12"/>
      <c r="M158" s="10"/>
      <c r="N158" s="11"/>
      <c r="O158" s="12"/>
      <c r="P158" s="10"/>
      <c r="Q158" s="11"/>
      <c r="R158" s="12"/>
      <c r="S158" s="10"/>
      <c r="T158" s="11"/>
      <c r="U158" s="10"/>
    </row>
    <row r="159" spans="1:21" ht="191.25" x14ac:dyDescent="0.2">
      <c r="A159" s="10"/>
      <c r="B159" s="10"/>
      <c r="C159" s="10"/>
      <c r="D159" s="10" t="str">
        <f ca="1">IFERROR(__xludf.DUMMYFUNCTION("""COMPUTED_VALUE"""),"Realización del estudio de nuevas fórmulas de conciliación para actualizar la directriz de conciliación temprana vigente que ha adoptado el Comité de Conciliación y que permitan disminuir el daño antijurídico y el detrimento patrimonial a la entidad terri"&amp;"torial, por medio de la actualización Directriz Conciliación Temprana - Contrato Realidad.")</f>
        <v>Realización del estudio de nuevas fórmulas de conciliación para actualizar la directriz de conciliación temprana vigente que ha adoptado el Comité de Conciliación y que permitan disminuir el daño antijurídico y el detrimento patrimonial a la entidad territorial, por medio de la actualización Directriz Conciliación Temprana - Contrato Realidad.</v>
      </c>
      <c r="E159" s="10" t="str">
        <f ca="1">IFERROR(__xludf.DUMMYFUNCTION("""COMPUTED_VALUE"""),"Directriz de Conciliación Temprana Actualizada y adoptada por el Comité de Conciliación")</f>
        <v>Directriz de Conciliación Temprana Actualizada y adoptada por el Comité de Conciliación</v>
      </c>
      <c r="F159" s="11">
        <f ca="1">IFERROR(__xludf.DUMMYFUNCTION("""COMPUTED_VALUE"""),44562)</f>
        <v>44562</v>
      </c>
      <c r="G159" s="11"/>
      <c r="H159" s="10"/>
      <c r="I159" s="12"/>
      <c r="J159" s="10"/>
      <c r="K159" s="11"/>
      <c r="L159" s="12"/>
      <c r="M159" s="10"/>
      <c r="N159" s="11"/>
      <c r="O159" s="12"/>
      <c r="P159" s="10"/>
      <c r="Q159" s="11"/>
      <c r="R159" s="12"/>
      <c r="S159" s="10"/>
      <c r="T159" s="11"/>
      <c r="U159" s="10"/>
    </row>
    <row r="160" spans="1:21" ht="229.5" x14ac:dyDescent="0.2">
      <c r="A160" s="10" t="str">
        <f ca="1">IFERROR(__xludf.DUMMYFUNCTION("""COMPUTED_VALUE"""),"GESTIÓN CON VALORES PARA EL RESULTADO")</f>
        <v>GESTIÓN CON VALORES PARA EL RESULTADO</v>
      </c>
      <c r="B160" s="10" t="str">
        <f ca="1">IFERROR(__xludf.DUMMYFUNCTION("""COMPUTED_VALUE"""),"DEFENSA JURÍDICA")</f>
        <v>DEFENSA JURÍDICA</v>
      </c>
      <c r="C160" s="10" t="str">
        <f ca="1">IFERROR(__xludf.DUMMYFUNCTION("""COMPUTED_VALUE"""),"El area mide y evalua los resultados periodicamente de sus indicadores que miden la eficiencia, eficacia y efectividad de las politicas realizadas en materia de defensa juridica.")</f>
        <v>El area mide y evalua los resultados periodicamente de sus indicadores que miden la eficiencia, eficacia y efectividad de las politicas realizadas en materia de defensa juridica.</v>
      </c>
      <c r="D160" s="10" t="str">
        <f ca="1">IFERROR(__xludf.DUMMYFUNCTION("""COMPUTED_VALUE"""),"Aplicación de los autodiagnósticos que arrojan los estudios jurídicos realizados con los apoderados judiciales en relación con cada medio de control en aras de disminuir el índice de demandas y condenas a la Entidad de acuerdo a: causas generadoras de dem"&amp;"anda (fácticas) y razones del juez para condenar al municipio (legales), que tienen por evidencia las actas de reunión con sus observaciones.")</f>
        <v>Aplicación de los autodiagnósticos que arrojan los estudios jurídicos realizados con los apoderados judiciales en relación con cada medio de control en aras de disminuir el índice de demandas y condenas a la Entidad de acuerdo a: causas generadoras de demanda (fácticas) y razones del juez para condenar al municipio (legales), que tienen por evidencia las actas de reunión con sus observaciones.</v>
      </c>
      <c r="E160" s="10" t="str">
        <f ca="1">IFERROR(__xludf.DUMMYFUNCTION("""COMPUTED_VALUE"""),"(N° de mesas de trabajo realizadas en el periodo con los apoderados judiciales de la administración / 4) * 100")</f>
        <v>(N° de mesas de trabajo realizadas en el periodo con los apoderados judiciales de la administración / 4) * 100</v>
      </c>
      <c r="F160" s="11">
        <f ca="1">IFERROR(__xludf.DUMMYFUNCTION("""COMPUTED_VALUE"""),44562)</f>
        <v>44562</v>
      </c>
      <c r="G160" s="11"/>
      <c r="H160" s="10"/>
      <c r="I160" s="12"/>
      <c r="J160" s="10"/>
      <c r="K160" s="11"/>
      <c r="L160" s="12"/>
      <c r="M160" s="10"/>
      <c r="N160" s="11"/>
      <c r="O160" s="12"/>
      <c r="P160" s="10"/>
      <c r="Q160" s="11"/>
      <c r="R160" s="12"/>
      <c r="S160" s="10"/>
      <c r="T160" s="11"/>
      <c r="U160" s="10"/>
    </row>
    <row r="161" spans="1:21" ht="165.75" x14ac:dyDescent="0.2">
      <c r="A161" s="10"/>
      <c r="B161" s="10"/>
      <c r="C161" s="10"/>
      <c r="D161" s="10" t="str">
        <f ca="1">IFERROR(__xludf.DUMMYFUNCTION("""COMPUTED_VALUE"""),"Socialización con las Secretarías de la entidad de las medidas administrativas adoptadas que resulten de las mesas de trabajo realizadas con los profesionales de la Dirección de Defensa Jurídica del municipio. Quedan como evidencia las actas de reuniones,"&amp;" directrices y circulares.")</f>
        <v>Socialización con las Secretarías de la entidad de las medidas administrativas adoptadas que resulten de las mesas de trabajo realizadas con los profesionales de la Dirección de Defensa Jurídica del municipio. Quedan como evidencia las actas de reuniones, directrices y circulares.</v>
      </c>
      <c r="E161" s="10" t="str">
        <f ca="1">IFERROR(__xludf.DUMMYFUNCTION("""COMPUTED_VALUE"""),"No. de directrices o circulares emitidas desde la Dirección de Defensa Jurídica / No. de directrices o circulares socializadas * 100")</f>
        <v>No. de directrices o circulares emitidas desde la Dirección de Defensa Jurídica / No. de directrices o circulares socializadas * 100</v>
      </c>
      <c r="F161" s="11">
        <f ca="1">IFERROR(__xludf.DUMMYFUNCTION("""COMPUTED_VALUE"""),44562)</f>
        <v>44562</v>
      </c>
      <c r="G161" s="11"/>
      <c r="H161" s="10"/>
      <c r="I161" s="12"/>
      <c r="J161" s="10"/>
      <c r="K161" s="11"/>
      <c r="L161" s="12"/>
      <c r="M161" s="10"/>
      <c r="N161" s="11"/>
      <c r="O161" s="12"/>
      <c r="P161" s="10"/>
      <c r="Q161" s="11"/>
      <c r="R161" s="12"/>
      <c r="S161" s="10"/>
      <c r="T161" s="11"/>
      <c r="U161" s="10"/>
    </row>
    <row r="162" spans="1:21" ht="318.75" x14ac:dyDescent="0.2">
      <c r="A162" s="10"/>
      <c r="B162" s="10"/>
      <c r="C162" s="10"/>
      <c r="D162" s="10" t="str">
        <f ca="1">IFERROR(__xludf.DUMMYFUNCTION("""COMPUTED_VALUE"""),"Ejecución de la Auditoría al usuario de SIPROJ para verificar la asignación de apoderado a los procesos judiciales, la digitalización de las actuaciones procesales para garantizar la veracidad de la información que registra el Sistema de Información de Pr"&amp;"ocesos Judiciales; de conformidad con la obligación contractual contenida en los contratos de prestación de servicio profesional de los abogados, mediante informes de procesos por abogado, emitidos por el SIPROJ e informes tomados de la herramienta INFOJU"&amp;"DICIAL.")</f>
        <v>Ejecución de la Auditoría al usuario de SIPROJ para verificar la asignación de apoderado a los procesos judiciales, la digitalización de las actuaciones procesales para garantizar la veracidad de la información que registra el Sistema de Información de Procesos Judiciales; de conformidad con la obligación contractual contenida en los contratos de prestación de servicio profesional de los abogados, mediante informes de procesos por abogado, emitidos por el SIPROJ e informes tomados de la herramienta INFOJUDICIAL.</v>
      </c>
      <c r="E162" s="10" t="str">
        <f ca="1">IFERROR(__xludf.DUMMYFUNCTION("""COMPUTED_VALUE"""),"100%")</f>
        <v>100%</v>
      </c>
      <c r="F162" s="11">
        <f ca="1">IFERROR(__xludf.DUMMYFUNCTION("""COMPUTED_VALUE"""),44562)</f>
        <v>44562</v>
      </c>
      <c r="G162" s="11"/>
      <c r="H162" s="10"/>
      <c r="I162" s="12"/>
      <c r="J162" s="10"/>
      <c r="K162" s="11"/>
      <c r="L162" s="12"/>
      <c r="M162" s="10"/>
      <c r="N162" s="11"/>
      <c r="O162" s="12"/>
      <c r="P162" s="10"/>
      <c r="Q162" s="11"/>
      <c r="R162" s="12"/>
      <c r="S162" s="10"/>
      <c r="T162" s="11"/>
      <c r="U162" s="10"/>
    </row>
    <row r="163" spans="1:21" ht="267.75" x14ac:dyDescent="0.2">
      <c r="A163" s="10" t="str">
        <f ca="1">IFERROR(__xludf.DUMMYFUNCTION("""COMPUTED_VALUE"""),"GESTIÓN CON VALORES PARA EL RESULTADO")</f>
        <v>GESTIÓN CON VALORES PARA EL RESULTADO</v>
      </c>
      <c r="B163" s="10" t="str">
        <f ca="1">IFERROR(__xludf.DUMMYFUNCTION("""COMPUTED_VALUE"""),"DEFENSA JURÍDICA")</f>
        <v>DEFENSA JURÍDICA</v>
      </c>
      <c r="C163" s="10" t="str">
        <f ca="1">IFERROR(__xludf.DUMMYFUNCTION("""COMPUTED_VALUE"""),"El comité de conciliación tiene indicadores y  conoce el resultado de la medición de los indicadores de acuerdo con la periodicidad definida en el plan anual del comité de conciliación")</f>
        <v>El comité de conciliación tiene indicadores y  conoce el resultado de la medición de los indicadores de acuerdo con la periodicidad definida en el plan anual del comité de conciliación</v>
      </c>
      <c r="D163" s="10" t="str">
        <f ca="1">IFERROR(__xludf.DUMMYFUNCTION("""COMPUTED_VALUE"""),"Socialización y seguimiento del reglamento interno del Comité de Conciliación, Decreto Municipal 443 del 12 de Junio de 2019, que contiene las disposiciones relacionadas con su composición y regulación para garantizar su normal funcionamiento, adoptado co"&amp;"mo herramienta de gestión para el cumplimiento de sus funciones y la toma de decisiones de conformidad con lo establecido en el Decreto 1069 de 2015 y Decreto 1167 de 2016")</f>
        <v>Socialización y seguimiento del reglamento interno del Comité de Conciliación, Decreto Municipal 443 del 12 de Junio de 2019, que contiene las disposiciones relacionadas con su composición y regulación para garantizar su normal funcionamiento, adoptado como herramienta de gestión para el cumplimiento de sus funciones y la toma de decisiones de conformidad con lo establecido en el Decreto 1069 de 2015 y Decreto 1167 de 2016</v>
      </c>
      <c r="E163" s="10" t="str">
        <f ca="1">IFERROR(__xludf.DUMMYFUNCTION("""COMPUTED_VALUE"""),"Una actividad ejecutada al 100%")</f>
        <v>Una actividad ejecutada al 100%</v>
      </c>
      <c r="F163" s="11">
        <f ca="1">IFERROR(__xludf.DUMMYFUNCTION("""COMPUTED_VALUE"""),44562)</f>
        <v>44562</v>
      </c>
      <c r="G163" s="11"/>
      <c r="H163" s="10"/>
      <c r="I163" s="12"/>
      <c r="J163" s="10"/>
      <c r="K163" s="11"/>
      <c r="L163" s="12"/>
      <c r="M163" s="10"/>
      <c r="N163" s="11"/>
      <c r="O163" s="12"/>
      <c r="P163" s="10"/>
      <c r="Q163" s="11"/>
      <c r="R163" s="12"/>
      <c r="S163" s="10"/>
      <c r="T163" s="11"/>
      <c r="U163" s="10"/>
    </row>
    <row r="164" spans="1:21" ht="267.75" x14ac:dyDescent="0.2">
      <c r="A164" s="10" t="str">
        <f ca="1">IFERROR(__xludf.DUMMYFUNCTION("""COMPUTED_VALUE"""),"GESTIÓN CON VALORES PARA EL RESULTADO")</f>
        <v>GESTIÓN CON VALORES PARA EL RESULTADO</v>
      </c>
      <c r="B164" s="10" t="str">
        <f ca="1">IFERROR(__xludf.DUMMYFUNCTION("""COMPUTED_VALUE"""),"DEFENSA JURÍDICA")</f>
        <v>DEFENSA JURÍDICA</v>
      </c>
      <c r="C164" s="10" t="str">
        <f ca="1">IFERROR(__xludf.DUMMYFUNCTION("""COMPUTED_VALUE"""),"El comité de conciliación tiene  definidas actividades en el plan de acción anual para medir la eficiencia de la gestión en materia de implementación de la conciliación,  mide la eficiencia de la conciliación, la eficacia de la conciliación, el ahorro pat"&amp;"rimonial y la efectividad de las decisiones del comité de conciliación.")</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D164" s="10" t="str">
        <f ca="1">IFERROR(__xludf.DUMMYFUNCTION("""COMPUTED_VALUE"""),"Realización de estudios jurídicos y análisis de casos relevantes seleccionados de la totalidad de procesos judiciales en los cuales la entidad territorial es parte; determinando las causas de demanda en contra de la entidad se formularán nuevas estrategia"&amp;"s de defensa como insumo para el seguimiento de la política de prevención del daño antijurídico y sus futuras actualizaciones, quedando como evidencia las actas de reunión y los informes de casos relevantes.")</f>
        <v>Realización de estudios jurídicos y análisis de casos relevantes seleccionados de la totalidad de procesos judiciales en los cuales la entidad territorial es parte; determinando las causas de demanda en contra de la entidad se formularán nuevas estrategias de defensa como insumo para el seguimiento de la política de prevención del daño antijurídico y sus futuras actualizaciones, quedando como evidencia las actas de reunión y los informes de casos relevantes.</v>
      </c>
      <c r="E164" s="10" t="str">
        <f ca="1">IFERROR(__xludf.DUMMYFUNCTION("""COMPUTED_VALUE"""),"Actividad ejecutada al 100%, según lo requerido")</f>
        <v>Actividad ejecutada al 100%, según lo requerido</v>
      </c>
      <c r="F164" s="11">
        <f ca="1">IFERROR(__xludf.DUMMYFUNCTION("""COMPUTED_VALUE"""),44562)</f>
        <v>44562</v>
      </c>
      <c r="G164" s="11"/>
      <c r="H164" s="10"/>
      <c r="I164" s="12"/>
      <c r="J164" s="10"/>
      <c r="K164" s="11"/>
      <c r="L164" s="12"/>
      <c r="M164" s="10"/>
      <c r="N164" s="11"/>
      <c r="O164" s="12"/>
      <c r="P164" s="10"/>
      <c r="Q164" s="11"/>
      <c r="R164" s="12"/>
      <c r="S164" s="10"/>
      <c r="T164" s="11"/>
      <c r="U164" s="10"/>
    </row>
    <row r="165" spans="1:21" ht="369.75" x14ac:dyDescent="0.2">
      <c r="A165" s="10"/>
      <c r="B165" s="10"/>
      <c r="C165" s="10"/>
      <c r="D165" s="10" t="str">
        <f ca="1">IFERROR(__xludf.DUMMYFUNCTION("""COMPUTED_VALUE"""),"Estructuración del Banco de Jurisprudencia de la entidad, a partir del análisis de las sentencias y demás pronunciamientos emitidos por los despachos judiciales en relación con los procesos en los cuales la entidad territorial ha hecho parte, igualmente l"&amp;"a jurisprudencia en general que emiten las altas instancias judiciales de las diferentes jurisdicciones, la cual servirá como precedente para el ejercicio de defensa jurídica por parte del apoderado del proceso, información que reposará en el Banco de Jur"&amp;"isprudencia de la Entidad, debidamente adoptado mediante acto administrativo y publicado.")</f>
        <v>Estructuración del Banco de Jurisprudencia de la entidad, a partir del análisis de las sentencias y demás pronunciamientos emitidos por los despachos judiciales en relación con los procesos en los cuales la entidad territorial ha hecho parte, igualmente la jurisprudencia en general que emiten las altas instancias judiciales de las diferentes jurisdicciones, la cual servirá como precedente para el ejercicio de defensa jurídica por parte del apoderado del proceso, información que reposará en el Banco de Jurisprudencia de la Entidad, debidamente adoptado mediante acto administrativo y publicado.</v>
      </c>
      <c r="E165" s="10" t="str">
        <f ca="1">IFERROR(__xludf.DUMMYFUNCTION("""COMPUTED_VALUE"""),"(N° de sentencias en el banco jurisprudencial del SIPROJ / 50) * 100")</f>
        <v>(N° de sentencias en el banco jurisprudencial del SIPROJ / 50) * 100</v>
      </c>
      <c r="F165" s="11">
        <f ca="1">IFERROR(__xludf.DUMMYFUNCTION("""COMPUTED_VALUE"""),44562)</f>
        <v>44562</v>
      </c>
      <c r="G165" s="11"/>
      <c r="H165" s="10"/>
      <c r="I165" s="12"/>
      <c r="J165" s="10"/>
      <c r="K165" s="11"/>
      <c r="L165" s="12"/>
      <c r="M165" s="10"/>
      <c r="N165" s="11"/>
      <c r="O165" s="12"/>
      <c r="P165" s="10"/>
      <c r="Q165" s="11"/>
      <c r="R165" s="12"/>
      <c r="S165" s="10"/>
      <c r="T165" s="11"/>
      <c r="U165" s="10"/>
    </row>
    <row r="166" spans="1:21" ht="409.5" x14ac:dyDescent="0.2">
      <c r="A166" s="10" t="str">
        <f ca="1">IFERROR(__xludf.DUMMYFUNCTION("""COMPUTED_VALUE"""),"Talento Humano")</f>
        <v>Talento Humano</v>
      </c>
      <c r="B166" s="10" t="str">
        <f ca="1">IFERROR(__xludf.DUMMYFUNCTION("""COMPUTED_VALUE"""),"Integridad")</f>
        <v>Integridad</v>
      </c>
      <c r="C166" s="10" t="str">
        <f ca="1">IFERROR(__xludf.DUMMYFUNCTION("""COMPUTED_VALUE"""),"Diagnosticar si las estrategias de comunicación que empleó la entidad para promover el Código de Integridad son idóneas.")</f>
        <v>Diagnosticar si las estrategias de comunicación que empleó la entidad para promover el Código de Integridad son idóneas.</v>
      </c>
      <c r="D166" s="10" t="str">
        <f ca="1">IFERROR(__xludf.DUMMYFUNCTION("""COMPUTED_VALUE"""),"Diagnóstico de efectividad de las estrategias")</f>
        <v>Diagnóstico de efectividad de las estrategias</v>
      </c>
      <c r="E166" s="10" t="str">
        <f ca="1">IFERROR(__xludf.DUMMYFUNCTION("""COMPUTED_VALUE"""),"No de estrategias efectivas/No de estrategias utilizadas")</f>
        <v>No de estrategias efectivas/No de estrategias utilizadas</v>
      </c>
      <c r="F166" s="11">
        <f ca="1">IFERROR(__xludf.DUMMYFUNCTION("""COMPUTED_VALUE"""),44617)</f>
        <v>44617</v>
      </c>
      <c r="G166" s="11">
        <f ca="1">IFERROR(__xludf.DUMMYFUNCTION("""COMPUTED_VALUE"""),44925)</f>
        <v>44925</v>
      </c>
      <c r="H166" s="10" t="str">
        <f ca="1">IFERROR(__xludf.DUMMYFUNCTION("""COMPUTED_VALUE"""),"Director de Talento Humano")</f>
        <v>Director de Talento Humano</v>
      </c>
      <c r="I166" s="12">
        <f ca="1">IFERROR(__xludf.DUMMYFUNCTION("""COMPUTED_VALUE"""),0.7)</f>
        <v>0.7</v>
      </c>
      <c r="J166" s="10" t="str">
        <f ca="1">IFERROR(__xludf.DUMMYFUNCTION("""COMPUTED_VALUE"""),"para la vigencia 2021, corte 01 de enero al 31 de marzo 2022, se cuenta con 1 estrategias de comunicación,  las cual se utilizo la de  la página de la Alcaldía como medio de difusión, logrando hacerlo de una  manera  ágil y oportuna ")</f>
        <v xml:space="preserve">para la vigencia 2021, corte 01 de enero al 31 de marzo 2022, se cuenta con 1 estrategias de comunicación,  las cual se utilizo la de  la página de la Alcaldía como medio de difusión, logrando hacerlo de una  manera  ágil y oportuna </v>
      </c>
      <c r="K166" s="11">
        <f ca="1">IFERROR(__xludf.DUMMYFUNCTION("""COMPUTED_VALUE"""),44650)</f>
        <v>44650</v>
      </c>
      <c r="L166" s="12">
        <f ca="1">IFERROR(__xludf.DUMMYFUNCTION("""COMPUTED_VALUE"""),0.75)</f>
        <v>0.75</v>
      </c>
      <c r="M166" s="10" t="str">
        <f ca="1">IFERROR(__xludf.DUMMYFUNCTION("""COMPUTED_VALUE"""),"Para la vigencia evaluada con corte 30 de marzo al 30 de junio 2022,se programaron 2 estrategias de comunicación, las cuales permitieron promover el Código de Integridad son idóneas. Enlaces de evidencia Código de Integridad.
http://pereira.gov.co/Nuest"&amp;"raAlcaldia/Documents/1%20C%C3%93DIGO%20DE%20INTEGRIDAD%20VIGENCIA%202020%202023%20GOBIERNO%20DE%20LA%20CIUDAD%20_Presentacion_Power_Point_V2%20ABRIL%2016%202020%20PDF.pdf
")</f>
        <v xml:space="preserve">Para la vigencia evaluada con corte 30 de marzo al 30 de junio 2022,se programaron 2 estrategias de comunicación, las cuales permitieron promover el Código de Integridad son idóneas. Enlaces de evidencia Código de Integridad.
http://pereira.gov.co/NuestraAlcaldia/Documents/1%20C%C3%93DIGO%20DE%20INTEGRIDAD%20VIGENCIA%202020%202023%20GOBIERNO%20DE%20LA%20CIUDAD%20_Presentacion_Power_Point_V2%20ABRIL%2016%202020%20PDF.pdf
</v>
      </c>
      <c r="N166" s="11">
        <f ca="1">IFERROR(__xludf.DUMMYFUNCTION("""COMPUTED_VALUE"""),44742)</f>
        <v>44742</v>
      </c>
      <c r="O166" s="12">
        <f ca="1">IFERROR(__xludf.DUMMYFUNCTION("""COMPUTED_VALUE"""),0.8)</f>
        <v>0.8</v>
      </c>
      <c r="P166" s="10" t="str">
        <f ca="1">IFERROR(__xludf.DUMMYFUNCTION("""COMPUTED_VALUE"""),"Para la vigencia evaluada con corte 01 de julio al 30 de septiembre 2022, la entidad promueve el codigp de integridad de forma idonea mediante las  2 estrategias de comunicación, las cuales permitieron promover el Código de Integridad . como son:  Enlaces"&amp;" de evidencia Código de Integridad. pagina web y carrusel de SAIA Imagen publicitaria,
 https://www.pereira.gov.co/loader.php?lServicio=Tools2&amp;lTipo=descargas&amp;lFuncion=descargar&amp;idFile=49571#:~:text=Escucho%2C%20atiendo%20y%20oriento%20a,gu%C3%ADa%20en%20"&amp;"alg%C3%BAn%20asunto%20p%C3%BAblico.&amp;text=con%20otras%20Personas%2C%20sin%20distracciones%20de%20ning%C3%BAn%20tipo.&amp;text=Nunca%20trabajo%20con%20Una%20actitud,ponerle%20ganas%20a%20las%20cosas.")</f>
        <v>Para la vigencia evaluada con corte 01 de julio al 30 de septiembre 2022, la entidad promueve el codigp de integridad de forma idonea mediante las  2 estrategias de comunicación, las cuales permitieron promover el Código de Integridad . como son:  Enlaces de evidencia Código de Integridad. pagina web y carrusel de SAIA Imagen publicitaria,
 https://www.pereira.gov.co/loader.php?lServicio=Tools2&amp;lTipo=descargas&amp;lFuncion=descargar&amp;idFile=49571#:~:text=Escucho%2C%20atiendo%20y%20oriento%20a,gu%C3%ADa%20en%20alg%C3%BAn%20asunto%20p%C3%BAblico.&amp;text=con%20otras%20Personas%2C%20sin%20distracciones%20de%20ning%C3%BAn%20tipo.&amp;text=Nunca%20trabajo%20con%20Una%20actitud,ponerle%20ganas%20a%20las%20cosas.</v>
      </c>
      <c r="Q166" s="11">
        <f ca="1">IFERROR(__xludf.DUMMYFUNCTION("""COMPUTED_VALUE"""),44834)</f>
        <v>44834</v>
      </c>
      <c r="R166" s="12">
        <f ca="1">IFERROR(__xludf.DUMMYFUNCTION("""COMPUTED_VALUE"""),1)</f>
        <v>1</v>
      </c>
      <c r="S166" s="10" t="str">
        <f ca="1">IFERROR(__xludf.DUMMYFUNCTION("""COMPUTED_VALUE"""),"Para la vigencia evaluada con corte 01 de octubre al 30 de diciembre  de  2022, la entidad promovió 2  estrategias las cuales fueron utilizadas de manera efectivas,  promoviendo el código de integridad de forma idónea mediante . como fueron la pagina web "&amp;"la cual mediante  Enlaces se publico el Código de Integridad. y el  carrusel de SAIA con  Imagen publicitaria, durante todo el año motivando al servidor público a ejercer sus funciones con integridad 
 https://www.pereira.gov.co/loader.php?lServicio=Tools"&amp;"2&amp;lTipo=descargas&amp;lFuncion=descargar&amp;idFile=49571#:~:text=Escucho%2C%20atiendo%20y%20oriento%20a,gu%C3%ADa%20en%20alg%C3%BAn%20asunto%20p%C3%BAblico.&amp;text=con%20otras%20Personas%2C%20sin%20distracciones%20de%20ning%C3%BAn%20tipo.&amp;text=Nunca%20trabajo%20co"&amp;"n%20Una%20actitud,ponerle%20ganas%20a%20las%20cosas.")</f>
        <v>Para la vigencia evaluada con corte 01 de octubre al 30 de diciembre  de  2022, la entidad promovió 2  estrategias las cuales fueron utilizadas de manera efectivas,  promoviendo el código de integridad de forma idónea mediante . como fueron la pagina web la cual mediante  Enlaces se publico el Código de Integridad. y el  carrusel de SAIA con  Imagen publicitaria, durante todo el año motivando al servidor público a ejercer sus funciones con integridad 
 https://www.pereira.gov.co/loader.php?lServicio=Tools2&amp;lTipo=descargas&amp;lFuncion=descargar&amp;idFile=49571#:~:text=Escucho%2C%20atiendo%20y%20oriento%20a,gu%C3%ADa%20en%20alg%C3%BAn%20asunto%20p%C3%BAblico.&amp;text=con%20otras%20Personas%2C%20sin%20distracciones%20de%20ning%C3%BAn%20tipo.&amp;text=Nunca%20trabajo%20con%20Una%20actitud,ponerle%20ganas%20a%20las%20cosas.</v>
      </c>
      <c r="T166" s="11">
        <f ca="1">IFERROR(__xludf.DUMMYFUNCTION("""COMPUTED_VALUE"""),44925)</f>
        <v>44925</v>
      </c>
      <c r="U166" s="10"/>
    </row>
    <row r="167" spans="1:21" ht="409.5" x14ac:dyDescent="0.2">
      <c r="A167" s="10" t="str">
        <f ca="1">IFERROR(__xludf.DUMMYFUNCTION("""COMPUTED_VALUE"""),"Talento Humano")</f>
        <v>Talento Humano</v>
      </c>
      <c r="B167" s="10" t="str">
        <f ca="1">IFERROR(__xludf.DUMMYFUNCTION("""COMPUTED_VALUE"""),"Integridad")</f>
        <v>Integridad</v>
      </c>
      <c r="C167" s="10" t="str">
        <f ca="1">IFERROR(__xludf.DUMMYFUNCTION("""COMPUTED_VALUE"""),"Determinar el alcance de las estrategias de implementación del Código de Integridad, para establecer actividades concretas que mejoren la apropiación y/o adaptación al Código.")</f>
        <v>Determinar el alcance de las estrategias de implementación del Código de Integridad, para establecer actividades concretas que mejoren la apropiación y/o adaptación al Código.</v>
      </c>
      <c r="D167" s="10" t="str">
        <f ca="1">IFERROR(__xludf.DUMMYFUNCTION("""COMPUTED_VALUE"""),"cronograma de actividades para la implementación del código de integridad")</f>
        <v>cronograma de actividades para la implementación del código de integridad</v>
      </c>
      <c r="E167" s="10" t="str">
        <f ca="1">IFERROR(__xludf.DUMMYFUNCTION("""COMPUTED_VALUE"""),"No de actividades realizadas /No de actividades programadas")</f>
        <v>No de actividades realizadas /No de actividades programadas</v>
      </c>
      <c r="F167" s="11">
        <f ca="1">IFERROR(__xludf.DUMMYFUNCTION("""COMPUTED_VALUE"""),44617)</f>
        <v>44617</v>
      </c>
      <c r="G167" s="11">
        <f ca="1">IFERROR(__xludf.DUMMYFUNCTION("""COMPUTED_VALUE"""),44925)</f>
        <v>44925</v>
      </c>
      <c r="H167" s="10" t="str">
        <f ca="1">IFERROR(__xludf.DUMMYFUNCTION("""COMPUTED_VALUE"""),"Director de Talento Humano")</f>
        <v>Director de Talento Humano</v>
      </c>
      <c r="I167" s="12">
        <f ca="1">IFERROR(__xludf.DUMMYFUNCTION("""COMPUTED_VALUE"""),0.65)</f>
        <v>0.65</v>
      </c>
      <c r="J167" s="10" t="str">
        <f ca="1">IFERROR(__xludf.DUMMYFUNCTION("""COMPUTED_VALUE""")," al  corte 01 de enero al 31 marzo 2022, se realizo el plan de acción Anual Código de Integridad, para la vigencia 2022, se implementaran 1 estrategia en el cronograma de actividades, la 1era estrategia  hacer la invitación a funcionarios y contratistas a"&amp;" realizar el curso de integridad para fortalecer los valores y la transparencia del sector público de la entidad a que realicen el curso,  de función publica https://www.funcionpublica.gov.co/eva/es/consulta-certificados/1/1038/#formularioresultado .")</f>
        <v xml:space="preserve"> al  corte 01 de enero al 31 marzo 2022, se realizo el plan de acción Anual Código de Integridad, para la vigencia 2022, se implementaran 1 estrategia en el cronograma de actividades, la 1era estrategia  hacer la invitación a funcionarios y contratistas a realizar el curso de integridad para fortalecer los valores y la transparencia del sector público de la entidad a que realicen el curso,  de función publica https://www.funcionpublica.gov.co/eva/es/consulta-certificados/1/1038/#formularioresultado .</v>
      </c>
      <c r="K167" s="11">
        <f ca="1">IFERROR(__xludf.DUMMYFUNCTION("""COMPUTED_VALUE"""),44650)</f>
        <v>44650</v>
      </c>
      <c r="L167" s="12">
        <f ca="1">IFERROR(__xludf.DUMMYFUNCTION("""COMPUTED_VALUE"""),0.75)</f>
        <v>0.75</v>
      </c>
      <c r="M167" s="10" t="str">
        <f ca="1">IFERROR(__xludf.DUMMYFUNCTION("""COMPUTED_VALUE"""),"Para la vigencia  evaluada con corte 30 de marzo  al 30 de junio 2022, se  dio cumplimiento a las 2 actividades programadas, piezas publicitarias ")</f>
        <v xml:space="preserve">Para la vigencia  evaluada con corte 30 de marzo  al 30 de junio 2022, se  dio cumplimiento a las 2 actividades programadas, piezas publicitarias </v>
      </c>
      <c r="N167" s="11">
        <f ca="1">IFERROR(__xludf.DUMMYFUNCTION("""COMPUTED_VALUE"""),44742)</f>
        <v>44742</v>
      </c>
      <c r="O167" s="12">
        <f ca="1">IFERROR(__xludf.DUMMYFUNCTION("""COMPUTED_VALUE"""),0.8)</f>
        <v>0.8</v>
      </c>
      <c r="P167" s="10" t="str">
        <f ca="1">IFERROR(__xludf.DUMMYFUNCTION("""COMPUTED_VALUE"""),"Para la vigencia evaluada con corte 01 de julio al 30 de septiembre 2022, mediante la realización del curso de integridad, se ha logrado la apropiación del código
de integridad. dando cumplimiento a la 
actividad programada con un alcance del  80% de lo"&amp;"s servidores de la entidad
través del link
https://www.funcionpublica.gov.co/eva/es/consulta-certificados/1/1038/#formularioresultado ")</f>
        <v xml:space="preserve">Para la vigencia evaluada con corte 01 de julio al 30 de septiembre 2022, mediante la realización del curso de integridad, se ha logrado la apropiación del código
de integridad. dando cumplimiento a la 
actividad programada con un alcance del  80% de los servidores de la entidad
través del link
https://www.funcionpublica.gov.co/eva/es/consulta-certificados/1/1038/#formularioresultado </v>
      </c>
      <c r="Q167" s="11">
        <f ca="1">IFERROR(__xludf.DUMMYFUNCTION("""COMPUTED_VALUE"""),44834)</f>
        <v>44834</v>
      </c>
      <c r="R167" s="12">
        <f ca="1">IFERROR(__xludf.DUMMYFUNCTION("""COMPUTED_VALUE"""),0.95)</f>
        <v>0.95</v>
      </c>
      <c r="S167" s="10" t="str">
        <f ca="1">IFERROR(__xludf.DUMMYFUNCTION("""COMPUTED_VALUE"""),"Para la vigencia evaluada con corte 01 de octubre al 30 de diciembre  de  2022, se conto con 3 actividades en el cronograma  las cuales se ejecutaron con forme a la programación establecida, permitiendo  la realización del curso de integridad, asistencia "&amp;"al curso de integridad y publicación de piezas publicitarias , logrado la apropiación del código
de integridad. dando cumplimiento a las 
actividad programada con un alcance del 95% de los servidores de la entidad, que participaron de las mismas 
través d"&amp;"el link
https://www.funcionpublica.gov.co/eva/es/consulta-certificados/1/1038/#formularioresultado ")</f>
        <v xml:space="preserve">Para la vigencia evaluada con corte 01 de octubre al 30 de diciembre  de  2022, se conto con 3 actividades en el cronograma  las cuales se ejecutaron con forme a la programación establecida, permitiendo  la realización del curso de integridad, asistencia al curso de integridad y publicación de piezas publicitarias , logrado la apropiación del código
de integridad. dando cumplimiento a las 
actividad programada con un alcance del 95% de los servidores de la entidad, que participaron de las mismas 
través del link
https://www.funcionpublica.gov.co/eva/es/consulta-certificados/1/1038/#formularioresultado </v>
      </c>
      <c r="T167" s="11">
        <f ca="1">IFERROR(__xludf.DUMMYFUNCTION("""COMPUTED_VALUE"""),44925)</f>
        <v>44925</v>
      </c>
      <c r="U167" s="10"/>
    </row>
    <row r="168" spans="1:21" ht="409.5" x14ac:dyDescent="0.2">
      <c r="A168" s="10" t="str">
        <f ca="1">IFERROR(__xludf.DUMMYFUNCTION("""COMPUTED_VALUE"""),"Talento Humano")</f>
        <v>Talento Humano</v>
      </c>
      <c r="B168" s="10" t="str">
        <f ca="1">IFERROR(__xludf.DUMMYFUNCTION("""COMPUTED_VALUE"""),"Integridad")</f>
        <v>Integridad</v>
      </c>
      <c r="C168" s="10" t="str">
        <f ca="1">IFERROR(__xludf.DUMMYFUNCTION("""COMPUTED_VALUE"""),"Definir las estrategias para la inducción o reinducción de los servidores públicos con el propósito de afianzar las temáticas del Código de integridad.")</f>
        <v>Definir las estrategias para la inducción o reinducción de los servidores públicos con el propósito de afianzar las temáticas del Código de integridad.</v>
      </c>
      <c r="D168" s="10" t="str">
        <f ca="1">IFERROR(__xludf.DUMMYFUNCTION("""COMPUTED_VALUE"""),"actividades desarrolladas en el Plan Institucional de Capacitaciones, mediante Inducción y Reinducción que permita afianzar las temáticas del Código de integridad.")</f>
        <v>actividades desarrolladas en el Plan Institucional de Capacitaciones, mediante Inducción y Reinducción que permita afianzar las temáticas del Código de integridad.</v>
      </c>
      <c r="E168" s="10" t="str">
        <f ca="1">IFERROR(__xludf.DUMMYFUNCTION("""COMPUTED_VALUE"""),"No de actividades realizadas /No de actividades programadas")</f>
        <v>No de actividades realizadas /No de actividades programadas</v>
      </c>
      <c r="F168" s="11">
        <f ca="1">IFERROR(__xludf.DUMMYFUNCTION("""COMPUTED_VALUE"""),44252)</f>
        <v>44252</v>
      </c>
      <c r="G168" s="11">
        <f ca="1">IFERROR(__xludf.DUMMYFUNCTION("""COMPUTED_VALUE"""),44560)</f>
        <v>44560</v>
      </c>
      <c r="H168" s="10" t="str">
        <f ca="1">IFERROR(__xludf.DUMMYFUNCTION("""COMPUTED_VALUE"""),"Director de Talento Humano")</f>
        <v>Director de Talento Humano</v>
      </c>
      <c r="I168" s="12">
        <f ca="1">IFERROR(__xludf.DUMMYFUNCTION("""COMPUTED_VALUE"""),0.65)</f>
        <v>0.65</v>
      </c>
      <c r="J168" s="10" t="str">
        <f ca="1">IFERROR(__xludf.DUMMYFUNCTION("""COMPUTED_VALUE"""),"al  corte 01 de enero al 31 marzo 2022, como estrategia de capacitación se incluyo en el plan de capacitaciones, una reinducción , con el propósito de afianzar las temáticas del Código de Integridad. ")</f>
        <v xml:space="preserve">al  corte 01 de enero al 31 marzo 2022, como estrategia de capacitación se incluyo en el plan de capacitaciones, una reinducción , con el propósito de afianzar las temáticas del Código de Integridad. </v>
      </c>
      <c r="K168" s="11">
        <f ca="1">IFERROR(__xludf.DUMMYFUNCTION("""COMPUTED_VALUE"""),44650)</f>
        <v>44650</v>
      </c>
      <c r="L168" s="12">
        <f ca="1">IFERROR(__xludf.DUMMYFUNCTION("""COMPUTED_VALUE"""),0.75)</f>
        <v>0.75</v>
      </c>
      <c r="M168" s="10" t="str">
        <f ca="1">IFERROR(__xludf.DUMMYFUNCTION("""COMPUTED_VALUE"""),"para la vigencia  evaluada con corte 30 de marzo  al 30 de junio 2022, se cuenta con el plan de capacitación que incluye inducción, al corte se han capacitado 375 funcionarios, afianzando el Código de Integrad. EVIDENCIAS CORREO pic@pereira,gov.co y  PUNT"&amp;"O 12, DEL LINK https://www.pereira.gov.co/publicaciones/1145/sistemas-transversales/")</f>
        <v>para la vigencia  evaluada con corte 30 de marzo  al 30 de junio 2022, se cuenta con el plan de capacitación que incluye inducción, al corte se han capacitado 375 funcionarios, afianzando el Código de Integrad. EVIDENCIAS CORREO pic@pereira,gov.co y  PUNTO 12, DEL LINK https://www.pereira.gov.co/publicaciones/1145/sistemas-transversales/</v>
      </c>
      <c r="N168" s="11">
        <f ca="1">IFERROR(__xludf.DUMMYFUNCTION("""COMPUTED_VALUE"""),44742)</f>
        <v>44742</v>
      </c>
      <c r="O168" s="12">
        <f ca="1">IFERROR(__xludf.DUMMYFUNCTION("""COMPUTED_VALUE"""),0.8)</f>
        <v>0.8</v>
      </c>
      <c r="P168" s="10" t="str">
        <f ca="1">IFERROR(__xludf.DUMMYFUNCTION("""COMPUTED_VALUE"""),"""Para la vigencia evaluada con corte 01 de julio al 30 de septiembre 2022, Se  cuenta con
el plan de capacitación que incluye inducción, al corte se han capacitado 380 funcionarios, afianzando el Código de Integrad, se evidencia a través del correo
pic@p"&amp;"ereira,gov.co y en el
punto 12 del siguiente LINK/ asi mismo para contratistas 100%  han realizado el curso punto 14 del siguiente LINK/
https://www.pereira.gov.co/p
ublicaciones/1145/sistemastransversales/""
")</f>
        <v xml:space="preserve">"Para la vigencia evaluada con corte 01 de julio al 30 de septiembre 2022, Se  cuenta con
el plan de capacitación que incluye inducción, al corte se han capacitado 380 funcionarios, afianzando el Código de Integrad, se evidencia a través del correo
pic@pereira,gov.co y en el
punto 12 del siguiente LINK/ asi mismo para contratistas 100%  han realizado el curso punto 14 del siguiente LINK/
https://www.pereira.gov.co/p
ublicaciones/1145/sistemastransversales/"
</v>
      </c>
      <c r="Q168" s="11">
        <f ca="1">IFERROR(__xludf.DUMMYFUNCTION("""COMPUTED_VALUE"""),44834)</f>
        <v>44834</v>
      </c>
      <c r="R168" s="12">
        <f ca="1">IFERROR(__xludf.DUMMYFUNCTION("""COMPUTED_VALUE"""),0.97)</f>
        <v>0.97</v>
      </c>
      <c r="S168" s="10" t="str">
        <f ca="1">IFERROR(__xludf.DUMMYFUNCTION("""COMPUTED_VALUE"""),"Para la vigencia evaluada con corte 01 de octubre al 30 de diciembre de 2022, Se cuento con
 el plan de capacitación que incluyo inducción, al corte se capacitado ron 97% de funcionarios, afianzando el Código de Integrad, se evidencia a través del correo
"&amp;" pic@pereira,gov.co y en el
 punto 12 del siguiente LINK/ así mismo para contratistas 100% han realizado el curso punto 14 del siguiente LINK/
 https://www.pereira.gov.co/p
 ubicaciones/1145/sistemas transversales/""")</f>
        <v>Para la vigencia evaluada con corte 01 de octubre al 30 de diciembre de 2022, Se cuento con
 el plan de capacitación que incluyo inducción, al corte se capacitado ron 97% de funcionarios, afianzando el Código de Integrad, se evidencia a través del correo
 pic@pereira,gov.co y en el
 punto 12 del siguiente LINK/ así mismo para contratistas 100% han realizado el curso punto 14 del siguiente LINK/
 https://www.pereira.gov.co/p
 ubicaciones/1145/sistemas transversales/"</v>
      </c>
      <c r="T168" s="11">
        <f ca="1">IFERROR(__xludf.DUMMYFUNCTION("""COMPUTED_VALUE"""),44925)</f>
        <v>44925</v>
      </c>
      <c r="U168" s="10"/>
    </row>
    <row r="169" spans="1:21" ht="357" x14ac:dyDescent="0.2">
      <c r="A169" s="10" t="str">
        <f ca="1">IFERROR(__xludf.DUMMYFUNCTION("""COMPUTED_VALUE"""),"Talento Humano")</f>
        <v>Talento Humano</v>
      </c>
      <c r="B169" s="10" t="str">
        <f ca="1">IFERROR(__xludf.DUMMYFUNCTION("""COMPUTED_VALUE"""),"Integridad")</f>
        <v>Integridad</v>
      </c>
      <c r="C169" s="10" t="str">
        <f ca="1">IFERROR(__xludf.DUMMYFUNCTION("""COMPUTED_VALUE"""),"Establecer el cronograma de ejecución de las actividades de implementación del Código de Integridad.")</f>
        <v>Establecer el cronograma de ejecución de las actividades de implementación del Código de Integridad.</v>
      </c>
      <c r="D169" s="10" t="str">
        <f ca="1">IFERROR(__xludf.DUMMYFUNCTION("""COMPUTED_VALUE"""),"cronograma de PIC Inducción y Reinducción, plan de Bienestar, especifico de implementación del Código de Integridad.")</f>
        <v>cronograma de PIC Inducción y Reinducción, plan de Bienestar, especifico de implementación del Código de Integridad.</v>
      </c>
      <c r="E169" s="10" t="str">
        <f ca="1">IFERROR(__xludf.DUMMYFUNCTION("""COMPUTED_VALUE"""),"100% cumplimiento de cronograma del PIC en actividades del código de integridad efectivas y evaluadas")</f>
        <v>100% cumplimiento de cronograma del PIC en actividades del código de integridad efectivas y evaluadas</v>
      </c>
      <c r="F169" s="11">
        <f ca="1">IFERROR(__xludf.DUMMYFUNCTION("""COMPUTED_VALUE"""),44617)</f>
        <v>44617</v>
      </c>
      <c r="G169" s="11">
        <f ca="1">IFERROR(__xludf.DUMMYFUNCTION("""COMPUTED_VALUE"""),44925)</f>
        <v>44925</v>
      </c>
      <c r="H169" s="10" t="str">
        <f ca="1">IFERROR(__xludf.DUMMYFUNCTION("""COMPUTED_VALUE"""),"Director de Talento Humano")</f>
        <v>Director de Talento Humano</v>
      </c>
      <c r="I169" s="12">
        <f ca="1">IFERROR(__xludf.DUMMYFUNCTION("""COMPUTED_VALUE"""),0.65)</f>
        <v>0.65</v>
      </c>
      <c r="J169" s="10" t="str">
        <f ca="1">IFERROR(__xludf.DUMMYFUNCTION("""COMPUTED_VALUE"""),"para la vigencia, 2022 a corte 01 de enero al 31 de marzo, se elaboro el cronograma  del PIC, en el que se  programaron las actividades  que se  ejecutaran  para la inducción y reinducción de el Código de Integridad ")</f>
        <v xml:space="preserve">para la vigencia, 2022 a corte 01 de enero al 31 de marzo, se elaboro el cronograma  del PIC, en el que se  programaron las actividades  que se  ejecutaran  para la inducción y reinducción de el Código de Integridad </v>
      </c>
      <c r="K169" s="11">
        <f ca="1">IFERROR(__xludf.DUMMYFUNCTION("""COMPUTED_VALUE"""),44650)</f>
        <v>44650</v>
      </c>
      <c r="L169" s="12">
        <f ca="1">IFERROR(__xludf.DUMMYFUNCTION("""COMPUTED_VALUE"""),0.7)</f>
        <v>0.7</v>
      </c>
      <c r="M169" s="10" t="str">
        <f ca="1">IFERROR(__xludf.DUMMYFUNCTION("""COMPUTED_VALUE"""),"para la vigencia  evaluada con corte 30 de marzo  al 30 de junio 2022,se da cumplimiento al  cronograma con forme a la inducción y reinducción de el Código de Integridad ")</f>
        <v xml:space="preserve">para la vigencia  evaluada con corte 30 de marzo  al 30 de junio 2022,se da cumplimiento al  cronograma con forme a la inducción y reinducción de el Código de Integridad </v>
      </c>
      <c r="N169" s="11">
        <f ca="1">IFERROR(__xludf.DUMMYFUNCTION("""COMPUTED_VALUE"""),44742)</f>
        <v>44742</v>
      </c>
      <c r="O169" s="12">
        <f ca="1">IFERROR(__xludf.DUMMYFUNCTION("""COMPUTED_VALUE"""),0.8)</f>
        <v>0.8</v>
      </c>
      <c r="P169" s="10" t="str">
        <f ca="1">IFERROR(__xludf.DUMMYFUNCTION("""COMPUTED_VALUE"""),"Para la vigencia evaluada con corte 01 de julio al 30 de septiembre 2022,se da cumplimiento al  cronograma con forme a las actividades programadas,  inducción y reinducción de el Código de Integridad, piezas publicitarias en carrusel de SAIA, reporte de a"&amp;"ctividades en el autodiagnóstico ")</f>
        <v xml:space="preserve">Para la vigencia evaluada con corte 01 de julio al 30 de septiembre 2022,se da cumplimiento al  cronograma con forme a las actividades programadas,  inducción y reinducción de el Código de Integridad, piezas publicitarias en carrusel de SAIA, reporte de actividades en el autodiagnóstico </v>
      </c>
      <c r="Q169" s="11">
        <f ca="1">IFERROR(__xludf.DUMMYFUNCTION("""COMPUTED_VALUE"""),44834)</f>
        <v>44834</v>
      </c>
      <c r="R169" s="12">
        <f ca="1">IFERROR(__xludf.DUMMYFUNCTION("""COMPUTED_VALUE"""),1)</f>
        <v>1</v>
      </c>
      <c r="S169" s="10" t="str">
        <f ca="1">IFERROR(__xludf.DUMMYFUNCTION("""COMPUTED_VALUE"""),"Para la vigencia evaluada con corte 01 de octubre al 30 de diciembre de 2022,se da cumplimiento al cronograma con forme a las actividades programadas, inducción y Reinducción de el Código de Integridad, piezas publicitarias en carrusel de SAIA, reporte de"&amp;" actividades en el autodiagnóstico")</f>
        <v>Para la vigencia evaluada con corte 01 de octubre al 30 de diciembre de 2022,se da cumplimiento al cronograma con forme a las actividades programadas, inducción y Reinducción de el Código de Integridad, piezas publicitarias en carrusel de SAIA, reporte de actividades en el autodiagnóstico</v>
      </c>
      <c r="T169" s="11">
        <f ca="1">IFERROR(__xludf.DUMMYFUNCTION("""COMPUTED_VALUE"""),44925)</f>
        <v>44925</v>
      </c>
      <c r="U169" s="10"/>
    </row>
    <row r="170" spans="1:21" ht="409.5" x14ac:dyDescent="0.2">
      <c r="A170" s="10" t="str">
        <f ca="1">IFERROR(__xludf.DUMMYFUNCTION("""COMPUTED_VALUE"""),"Talento Humano")</f>
        <v>Talento Humano</v>
      </c>
      <c r="B170" s="10" t="str">
        <f ca="1">IFERROR(__xludf.DUMMYFUNCTION("""COMPUTED_VALUE"""),"Integridad")</f>
        <v>Integridad</v>
      </c>
      <c r="C170" s="10" t="str">
        <f ca="1">IFERROR(__xludf.DUMMYFUNCTION("""COMPUTED_VALUE"""),"Construir un mecanismo de recolección de información (Encuesta y/o grupos de intercambio) en el cual la entidad pueda hacer seguimiento a las observaciones de los servidores públicos en el proceso de la implementación del Código de Integridad.")</f>
        <v>Construir un mecanismo de recolección de información (Encuesta y/o grupos de intercambio) en el cual la entidad pueda hacer seguimiento a las observaciones de los servidores públicos en el proceso de la implementación del Código de Integridad.</v>
      </c>
      <c r="D170" s="10" t="str">
        <f ca="1">IFERROR(__xludf.DUMMYFUNCTION("""COMPUTED_VALUE"""),"Encuesta de seguimiento a las observaciones de los servidores públicos")</f>
        <v>Encuesta de seguimiento a las observaciones de los servidores públicos</v>
      </c>
      <c r="E170" s="10" t="str">
        <f ca="1">IFERROR(__xludf.DUMMYFUNCTION("""COMPUTED_VALUE"""),"No de encuestas realizadas /No de encuestas proyectadas")</f>
        <v>No de encuestas realizadas /No de encuestas proyectadas</v>
      </c>
      <c r="F170" s="11">
        <f ca="1">IFERROR(__xludf.DUMMYFUNCTION("""COMPUTED_VALUE"""),44252)</f>
        <v>44252</v>
      </c>
      <c r="G170" s="11">
        <f ca="1">IFERROR(__xludf.DUMMYFUNCTION("""COMPUTED_VALUE"""),44560)</f>
        <v>44560</v>
      </c>
      <c r="H170" s="10" t="str">
        <f ca="1">IFERROR(__xludf.DUMMYFUNCTION("""COMPUTED_VALUE"""),"Director de Talento Humano")</f>
        <v>Director de Talento Humano</v>
      </c>
      <c r="I170" s="12">
        <f ca="1">IFERROR(__xludf.DUMMYFUNCTION("""COMPUTED_VALUE"""),0.65)</f>
        <v>0.65</v>
      </c>
      <c r="J170" s="10" t="str">
        <f ca="1">IFERROR(__xludf.DUMMYFUNCTION("""COMPUTED_VALUE"""),"para la vigencia, 2022,la Encuesta de  seguimiento a las observaciones de los servidores públicos, se realizara una vez cumplida las actividades que se tienen programadas, con el fin de determinar la percepción de las actividades ejecutadas 
")</f>
        <v xml:space="preserve">para la vigencia, 2022,la Encuesta de  seguimiento a las observaciones de los servidores públicos, se realizara una vez cumplida las actividades que se tienen programadas, con el fin de determinar la percepción de las actividades ejecutadas 
</v>
      </c>
      <c r="K170" s="11">
        <f ca="1">IFERROR(__xludf.DUMMYFUNCTION("""COMPUTED_VALUE"""),44650)</f>
        <v>44650</v>
      </c>
      <c r="L170" s="12">
        <f ca="1">IFERROR(__xludf.DUMMYFUNCTION("""COMPUTED_VALUE"""),0.65)</f>
        <v>0.65</v>
      </c>
      <c r="M170" s="10" t="str">
        <f ca="1">IFERROR(__xludf.DUMMYFUNCTION("""COMPUTED_VALUE"""),"para la vigencia, 2022,la Encuesta de  seguimiento a las observaciones de los servidores públicos, se realizara una vez cumplida las actividades que se tienen programadas, con el fin de determinar la percepción de las actividades ejecutadas 
")</f>
        <v xml:space="preserve">para la vigencia, 2022,la Encuesta de  seguimiento a las observaciones de los servidores públicos, se realizara una vez cumplida las actividades que se tienen programadas, con el fin de determinar la percepción de las actividades ejecutadas 
</v>
      </c>
      <c r="N170" s="11">
        <f ca="1">IFERROR(__xludf.DUMMYFUNCTION("""COMPUTED_VALUE"""),44742)</f>
        <v>44742</v>
      </c>
      <c r="O170" s="12">
        <f ca="1">IFERROR(__xludf.DUMMYFUNCTION("""COMPUTED_VALUE"""),0.8)</f>
        <v>0.8</v>
      </c>
      <c r="P170" s="10" t="str">
        <f ca="1">IFERROR(__xludf.DUMMYFUNCTION("""COMPUTED_VALUE"""),"para la vigencia, 2022, la Encuesta de  seguimiento a las observaciones de los servidores públicos, se realizara una vez cumplida las actividades que se tienen programadas, con el fin de determinar la percepción de las actividades ejecutadas, para este re"&amp;"porte se informa que se realizara para el finales del mes de noviembre la cual ya se encuentra en proceso de elaboración.")</f>
        <v>para la vigencia, 2022, la Encuesta de  seguimiento a las observaciones de los servidores públicos, se realizara una vez cumplida las actividades que se tienen programadas, con el fin de determinar la percepción de las actividades ejecutadas, para este reporte se informa que se realizara para el finales del mes de noviembre la cual ya se encuentra en proceso de elaboración.</v>
      </c>
      <c r="Q170" s="11">
        <f ca="1">IFERROR(__xludf.DUMMYFUNCTION("""COMPUTED_VALUE"""),44834)</f>
        <v>44834</v>
      </c>
      <c r="R170" s="12">
        <f ca="1">IFERROR(__xludf.DUMMYFUNCTION("""COMPUTED_VALUE"""),1)</f>
        <v>1</v>
      </c>
      <c r="S170" s="10" t="str">
        <f ca="1">IFERROR(__xludf.DUMMYFUNCTION("""COMPUTED_VALUE"""),"Para la vigencia evaluada con corte 01 de octubre al 30 de diciembre de 2022, mediante Oficio No. 66414, se programo y se ejecuto la ENCUESTA CONOCIMIENTO SOBRE CONFLICTO DE INTERÉS Y
 CÓDIGO DE INTEGRIDAD, la cual permitirá realizar las intervenciones y "&amp;"programar actividades para la próxima vigencia")</f>
        <v>Para la vigencia evaluada con corte 01 de octubre al 30 de diciembre de 2022, mediante Oficio No. 66414, se programo y se ejecuto la ENCUESTA CONOCIMIENTO SOBRE CONFLICTO DE INTERÉS Y
 CÓDIGO DE INTEGRIDAD, la cual permitirá realizar las intervenciones y programar actividades para la próxima vigencia</v>
      </c>
      <c r="T170" s="11">
        <f ca="1">IFERROR(__xludf.DUMMYFUNCTION("""COMPUTED_VALUE"""),44925)</f>
        <v>44925</v>
      </c>
      <c r="U170" s="10"/>
    </row>
    <row r="171" spans="1:21" ht="409.5" x14ac:dyDescent="0.2">
      <c r="A171" s="10" t="str">
        <f ca="1">IFERROR(__xludf.DUMMYFUNCTION("""COMPUTED_VALUE"""),"Talento Humano")</f>
        <v>Talento Humano</v>
      </c>
      <c r="B171" s="10" t="str">
        <f ca="1">IFERROR(__xludf.DUMMYFUNCTION("""COMPUTED_VALUE"""),"Integridad")</f>
        <v>Integridad</v>
      </c>
      <c r="C171" s="10" t="str">
        <f ca="1">IFERROR(__xludf.DUMMYFUNCTION("""COMPUTED_VALUE"""),"Preparar las actividades que se implementarán en el afianzamiento del Código de Integridad.")</f>
        <v>Preparar las actividades que se implementarán en el afianzamiento del Código de Integridad.</v>
      </c>
      <c r="D171" s="10" t="str">
        <f ca="1">IFERROR(__xludf.DUMMYFUNCTION("""COMPUTED_VALUE"""),"actas de reunión de actividades de afianzamiento del Código de Integridad.")</f>
        <v>actas de reunión de actividades de afianzamiento del Código de Integridad.</v>
      </c>
      <c r="E171" s="10" t="str">
        <f ca="1">IFERROR(__xludf.DUMMYFUNCTION("""COMPUTED_VALUE"""),"100% cumplimiento de actividades efectivas y evaluadas del código de integridad")</f>
        <v>100% cumplimiento de actividades efectivas y evaluadas del código de integridad</v>
      </c>
      <c r="F171" s="11">
        <f ca="1">IFERROR(__xludf.DUMMYFUNCTION("""COMPUTED_VALUE"""),44252)</f>
        <v>44252</v>
      </c>
      <c r="G171" s="11">
        <f ca="1">IFERROR(__xludf.DUMMYFUNCTION("""COMPUTED_VALUE"""),44560)</f>
        <v>44560</v>
      </c>
      <c r="H171" s="10" t="str">
        <f ca="1">IFERROR(__xludf.DUMMYFUNCTION("""COMPUTED_VALUE"""),"Director de Talento Humano")</f>
        <v>Director de Talento Humano</v>
      </c>
      <c r="I171" s="12">
        <f ca="1">IFERROR(__xludf.DUMMYFUNCTION("""COMPUTED_VALUE"""),0.65)</f>
        <v>0.65</v>
      </c>
      <c r="J171" s="10" t="str">
        <f ca="1">IFERROR(__xludf.DUMMYFUNCTION("""COMPUTED_VALUE"""),"para la vigencia, 2022, a corte 01 de enero al 31 de marzo, se programaron las actividades que se implementarán en el afianzamiento del Código de Integridad. ")</f>
        <v xml:space="preserve">para la vigencia, 2022, a corte 01 de enero al 31 de marzo, se programaron las actividades que se implementarán en el afianzamiento del Código de Integridad. </v>
      </c>
      <c r="K171" s="11">
        <f ca="1">IFERROR(__xludf.DUMMYFUNCTION("""COMPUTED_VALUE"""),44650)</f>
        <v>44650</v>
      </c>
      <c r="L171" s="12">
        <f ca="1">IFERROR(__xludf.DUMMYFUNCTION("""COMPUTED_VALUE"""),0.65)</f>
        <v>0.65</v>
      </c>
      <c r="M171" s="10"/>
      <c r="N171" s="11">
        <f ca="1">IFERROR(__xludf.DUMMYFUNCTION("""COMPUTED_VALUE"""),44742)</f>
        <v>44742</v>
      </c>
      <c r="O171" s="12">
        <f ca="1">IFERROR(__xludf.DUMMYFUNCTION("""COMPUTED_VALUE"""),0.8)</f>
        <v>0.8</v>
      </c>
      <c r="P171" s="10" t="str">
        <f ca="1">IFERROR(__xludf.DUMMYFUNCTION("""COMPUTED_VALUE"""),"Para la vigencia evaluada con corte 01 de julio al 30 de septiembre 2022,se han ejecutado las actividades  programadas, permitiendo el afianzamiento del Código de Integridad, las cuales estan soportadas con evidencias de ejucion de las mismas, reportadas "&amp;"es este plan de acción,")</f>
        <v>Para la vigencia evaluada con corte 01 de julio al 30 de septiembre 2022,se han ejecutado las actividades  programadas, permitiendo el afianzamiento del Código de Integridad, las cuales estan soportadas con evidencias de ejucion de las mismas, reportadas es este plan de acción,</v>
      </c>
      <c r="Q171" s="11">
        <f ca="1">IFERROR(__xludf.DUMMYFUNCTION("""COMPUTED_VALUE"""),44834)</f>
        <v>44834</v>
      </c>
      <c r="R171" s="12">
        <f ca="1">IFERROR(__xludf.DUMMYFUNCTION("""COMPUTED_VALUE"""),1)</f>
        <v>1</v>
      </c>
      <c r="S171" s="10" t="str">
        <f ca="1">IFERROR(__xludf.DUMMYFUNCTION("""COMPUTED_VALUE"""),"Para la vigencia evaluada con corte 01 de octubre al 30 de diciembre de 2022, se ejecutaron las 4 actividades programadas, que correspondieron a publicación de código de integridad, capacitaciones, piezas publicitarias y encuesta permitiendo el afianzamie"&amp;"nto del Código de Integridad, las cuales están soportadas con evidencias de ejecución de las mismas, reportadas es este plan de acción,")</f>
        <v>Para la vigencia evaluada con corte 01 de octubre al 30 de diciembre de 2022, se ejecutaron las 4 actividades programadas, que correspondieron a publicación de código de integridad, capacitaciones, piezas publicitarias y encuesta permitiendo el afianzamiento del Código de Integridad, las cuales están soportadas con evidencias de ejecución de las mismas, reportadas es este plan de acción,</v>
      </c>
      <c r="T171" s="11">
        <f ca="1">IFERROR(__xludf.DUMMYFUNCTION("""COMPUTED_VALUE"""),44925)</f>
        <v>44925</v>
      </c>
      <c r="U171" s="10"/>
    </row>
    <row r="172" spans="1:21" ht="204" x14ac:dyDescent="0.2">
      <c r="A172" s="10" t="str">
        <f ca="1">IFERROR(__xludf.DUMMYFUNCTION("""COMPUTED_VALUE"""),"Talento Humano")</f>
        <v>Talento Humano</v>
      </c>
      <c r="B172" s="10" t="str">
        <f ca="1">IFERROR(__xludf.DUMMYFUNCTION("""COMPUTED_VALUE"""),"Integridad")</f>
        <v>Integridad</v>
      </c>
      <c r="C172" s="10" t="str">
        <f ca="1">IFERROR(__xludf.DUMMYFUNCTION("""COMPUTED_VALUE"""),"Divulgar las actividades del Código de integridad por distintos canales, logrando la participación activa de los servidores públicos a ser parte de las buenas practicas.")</f>
        <v>Divulgar las actividades del Código de integridad por distintos canales, logrando la participación activa de los servidores públicos a ser parte de las buenas practicas.</v>
      </c>
      <c r="D172" s="10" t="str">
        <f ca="1">IFERROR(__xludf.DUMMYFUNCTION("""COMPUTED_VALUE"""),"correos, Imágenes en SAIA y circulares")</f>
        <v>correos, Imágenes en SAIA y circulares</v>
      </c>
      <c r="E172" s="10" t="str">
        <f ca="1">IFERROR(__xludf.DUMMYFUNCTION("""COMPUTED_VALUE"""),"100% divulgación de actividades evaluadas y efectivas”")</f>
        <v>100% divulgación de actividades evaluadas y efectivas”</v>
      </c>
      <c r="F172" s="11">
        <f ca="1">IFERROR(__xludf.DUMMYFUNCTION("""COMPUTED_VALUE"""),44252)</f>
        <v>44252</v>
      </c>
      <c r="G172" s="11">
        <f ca="1">IFERROR(__xludf.DUMMYFUNCTION("""COMPUTED_VALUE"""),44560)</f>
        <v>44560</v>
      </c>
      <c r="H172" s="10" t="str">
        <f ca="1">IFERROR(__xludf.DUMMYFUNCTION("""COMPUTED_VALUE"""),"Director de Talento Humano")</f>
        <v>Director de Talento Humano</v>
      </c>
      <c r="I172" s="12">
        <f ca="1">IFERROR(__xludf.DUMMYFUNCTION("""COMPUTED_VALUE"""),0.7)</f>
        <v>0.7</v>
      </c>
      <c r="J172" s="10" t="str">
        <f ca="1">IFERROR(__xludf.DUMMYFUNCTION("""COMPUTED_VALUE"""),"para la vigencia, 2022, a corte 01 de enero al 31 de marzo , se realizo inducción del  código de Integridad a los funcionarios, https://www.pereira.gov.co/publicaciones/1145/sistemas-transversales/")</f>
        <v>para la vigencia, 2022, a corte 01 de enero al 31 de marzo , se realizo inducción del  código de Integridad a los funcionarios, https://www.pereira.gov.co/publicaciones/1145/sistemas-transversales/</v>
      </c>
      <c r="K172" s="11">
        <f ca="1">IFERROR(__xludf.DUMMYFUNCTION("""COMPUTED_VALUE"""),44650)</f>
        <v>44650</v>
      </c>
      <c r="L172" s="12">
        <f ca="1">IFERROR(__xludf.DUMMYFUNCTION("""COMPUTED_VALUE"""),0.75)</f>
        <v>0.75</v>
      </c>
      <c r="M172" s="10" t="str">
        <f ca="1">IFERROR(__xludf.DUMMYFUNCTION("""COMPUTED_VALUE"""),"para la vigencia  evaluada con corte 30 de marzo  al 30 de junio 2022, se realizaron 2 piezas publicitarias las cuales se publicaron en el carrusel del SAIA")</f>
        <v>para la vigencia  evaluada con corte 30 de marzo  al 30 de junio 2022, se realizaron 2 piezas publicitarias las cuales se publicaron en el carrusel del SAIA</v>
      </c>
      <c r="N172" s="11">
        <f ca="1">IFERROR(__xludf.DUMMYFUNCTION("""COMPUTED_VALUE"""),44742)</f>
        <v>44742</v>
      </c>
      <c r="O172" s="12">
        <f ca="1">IFERROR(__xludf.DUMMYFUNCTION("""COMPUTED_VALUE"""),0.8)</f>
        <v>0.8</v>
      </c>
      <c r="P172" s="10" t="str">
        <f ca="1">IFERROR(__xludf.DUMMYFUNCTION("""COMPUTED_VALUE"""),"Para la vigencia evaluada con corte 01 de julio al 30 de septiembre 2022,se divulgaron las actividades por los canales definidos como son pagina web y carrusel de SAIA")</f>
        <v>Para la vigencia evaluada con corte 01 de julio al 30 de septiembre 2022,se divulgaron las actividades por los canales definidos como son pagina web y carrusel de SAIA</v>
      </c>
      <c r="Q172" s="11">
        <f ca="1">IFERROR(__xludf.DUMMYFUNCTION("""COMPUTED_VALUE"""),44834)</f>
        <v>44834</v>
      </c>
      <c r="R172" s="12">
        <f ca="1">IFERROR(__xludf.DUMMYFUNCTION("""COMPUTED_VALUE"""),1)</f>
        <v>1</v>
      </c>
      <c r="S172" s="10" t="str">
        <f ca="1">IFERROR(__xludf.DUMMYFUNCTION("""COMPUTED_VALUE"""),"Para la vigencia evaluada con corte 01 de octubre al 30 de diciembre de 2022, se divulgaron las actividades por los canales definidos como son pagina web y carrusel de SAIA")</f>
        <v>Para la vigencia evaluada con corte 01 de octubre al 30 de diciembre de 2022, se divulgaron las actividades por los canales definidos como son pagina web y carrusel de SAIA</v>
      </c>
      <c r="T172" s="11">
        <f ca="1">IFERROR(__xludf.DUMMYFUNCTION("""COMPUTED_VALUE"""),44925)</f>
        <v>44925</v>
      </c>
      <c r="U172" s="10"/>
    </row>
    <row r="173" spans="1:21" ht="409.5" x14ac:dyDescent="0.2">
      <c r="A173" s="10" t="str">
        <f ca="1">IFERROR(__xludf.DUMMYFUNCTION("""COMPUTED_VALUE"""),"Talento Humano")</f>
        <v>Talento Humano</v>
      </c>
      <c r="B173" s="10" t="str">
        <f ca="1">IFERROR(__xludf.DUMMYFUNCTION("""COMPUTED_VALUE"""),"Integridad")</f>
        <v>Integridad</v>
      </c>
      <c r="C173" s="10" t="str">
        <f ca="1">IFERROR(__xludf.DUMMYFUNCTION("""COMPUTED_VALUE"""),"Implementar las actividades con los servidores públicos de la entidad, habilitando espacios presenciales y virtuales para dicho aprendizaje.")</f>
        <v>Implementar las actividades con los servidores públicos de la entidad, habilitando espacios presenciales y virtuales para dicho aprendizaje.</v>
      </c>
      <c r="D173" s="10" t="str">
        <f ca="1">IFERROR(__xludf.DUMMYFUNCTION("""COMPUTED_VALUE"""),"Actas y registros de reunión de socialización y boletines informativos recibidos por los servidores públicos")</f>
        <v>Actas y registros de reunión de socialización y boletines informativos recibidos por los servidores públicos</v>
      </c>
      <c r="E173" s="10" t="str">
        <f ca="1">IFERROR(__xludf.DUMMYFUNCTION("""COMPUTED_VALUE"""),"100% cumplimiento las actividades ejecutadas y evaluadas del código de integridad")</f>
        <v>100% cumplimiento las actividades ejecutadas y evaluadas del código de integridad</v>
      </c>
      <c r="F173" s="11">
        <f ca="1">IFERROR(__xludf.DUMMYFUNCTION("""COMPUTED_VALUE"""),44252)</f>
        <v>44252</v>
      </c>
      <c r="G173" s="11">
        <f ca="1">IFERROR(__xludf.DUMMYFUNCTION("""COMPUTED_VALUE"""),44560)</f>
        <v>44560</v>
      </c>
      <c r="H173" s="10" t="str">
        <f ca="1">IFERROR(__xludf.DUMMYFUNCTION("""COMPUTED_VALUE"""),"Director de Talento Humano")</f>
        <v>Director de Talento Humano</v>
      </c>
      <c r="I173" s="12">
        <f ca="1">IFERROR(__xludf.DUMMYFUNCTION("""COMPUTED_VALUE"""),0.7)</f>
        <v>0.7</v>
      </c>
      <c r="J173" s="10" t="str">
        <f ca="1">IFERROR(__xludf.DUMMYFUNCTION("""COMPUTED_VALUE"""),"para la vigencia, 2022, a corte 01 de enero al 31 de marzo , se cuenta con el reporte que emite la función publica de los funcionarios y contratistas que han realizado el curso de integridad.a la fecha 1,810 funcionarios y contratistas han realizado el cu"&amp;"rso de integridad")</f>
        <v>para la vigencia, 2022, a corte 01 de enero al 31 de marzo , se cuenta con el reporte que emite la función publica de los funcionarios y contratistas que han realizado el curso de integridad.a la fecha 1,810 funcionarios y contratistas han realizado el curso de integridad</v>
      </c>
      <c r="K173" s="11">
        <f ca="1">IFERROR(__xludf.DUMMYFUNCTION("""COMPUTED_VALUE"""),44650)</f>
        <v>44650</v>
      </c>
      <c r="L173" s="12">
        <f ca="1">IFERROR(__xludf.DUMMYFUNCTION("""COMPUTED_VALUE"""),0.7)</f>
        <v>0.7</v>
      </c>
      <c r="M173" s="10"/>
      <c r="N173" s="11">
        <f ca="1">IFERROR(__xludf.DUMMYFUNCTION("""COMPUTED_VALUE"""),44742)</f>
        <v>44742</v>
      </c>
      <c r="O173" s="12">
        <f ca="1">IFERROR(__xludf.DUMMYFUNCTION("""COMPUTED_VALUE"""),0.8)</f>
        <v>0.8</v>
      </c>
      <c r="P173" s="10" t="str">
        <f ca="1">IFERROR(__xludf.DUMMYFUNCTION("""COMPUTED_VALUE"""),"Para la vigencia evaluada con corte 01 de julio al 30 de septiembre 2022,se cuenta con el reporte que emite la función publica de los funcionarios y contratistas que han realizado el curso de integridad.a la fecha 1,958 funcionarios y contratistas han rea"&amp;"lizado el curso de integridad, asi mismo el reporte de los funcionarios que ha recibido reinducción de forma virtuales para dicho aprendizaje. https://www.funcionpublica.gov.co/eva/es/consulta-certificados/1/1038/#formularioresultado ")</f>
        <v xml:space="preserve">Para la vigencia evaluada con corte 01 de julio al 30 de septiembre 2022,se cuenta con el reporte que emite la función publica de los funcionarios y contratistas que han realizado el curso de integridad.a la fecha 1,958 funcionarios y contratistas han realizado el curso de integridad, asi mismo el reporte de los funcionarios que ha recibido reinducción de forma virtuales para dicho aprendizaje. https://www.funcionpublica.gov.co/eva/es/consulta-certificados/1/1038/#formularioresultado </v>
      </c>
      <c r="Q173" s="11">
        <f ca="1">IFERROR(__xludf.DUMMYFUNCTION("""COMPUTED_VALUE"""),44834)</f>
        <v>44834</v>
      </c>
      <c r="R173" s="12">
        <f ca="1">IFERROR(__xludf.DUMMYFUNCTION("""COMPUTED_VALUE"""),1)</f>
        <v>1</v>
      </c>
      <c r="S173" s="10" t="str">
        <f ca="1">IFERROR(__xludf.DUMMYFUNCTION("""COMPUTED_VALUE"""),"Para la vigencia evaluada con corte 01 de octubre al 30 de diciembre de 2022, se cuento con el reporte que emite la función publica de los funcionarios y contratistas que han realizado el curso de integridad. A la fecha 1,964 funcionarios y contratistas h"&amp;"an realizado el curso de integridad, así mismo el reporte de los funcionarios que ha recibido Reinducción de forma virtuales para dicho aprendizaje. https://www.funcionpublica.gov.co/eva/es/consulta-certificados/1/1038/#formularioresultado así mismo el cu"&amp;"mplimiento del 100% de las actividades programadas")</f>
        <v>Para la vigencia evaluada con corte 01 de octubre al 30 de diciembre de 2022, se cuento con el reporte que emite la función publica de los funcionarios y contratistas que han realizado el curso de integridad. A la fecha 1,964 funcionarios y contratistas han realizado el curso de integridad, así mismo el reporte de los funcionarios que ha recibido Reinducción de forma virtuales para dicho aprendizaje. https://www.funcionpublica.gov.co/eva/es/consulta-certificados/1/1038/#formularioresultado así mismo el cumplimiento del 100% de las actividades programadas</v>
      </c>
      <c r="T173" s="11">
        <f ca="1">IFERROR(__xludf.DUMMYFUNCTION("""COMPUTED_VALUE"""),44925)</f>
        <v>44925</v>
      </c>
      <c r="U173" s="10"/>
    </row>
    <row r="174" spans="1:21" ht="306" x14ac:dyDescent="0.2">
      <c r="A174" s="10" t="str">
        <f ca="1">IFERROR(__xludf.DUMMYFUNCTION("""COMPUTED_VALUE"""),"Talento Humano")</f>
        <v>Talento Humano</v>
      </c>
      <c r="B174" s="10" t="str">
        <f ca="1">IFERROR(__xludf.DUMMYFUNCTION("""COMPUTED_VALUE"""),"Integridad")</f>
        <v>Integridad</v>
      </c>
      <c r="C174" s="10" t="str">
        <f ca="1">IFERROR(__xludf.DUMMYFUNCTION("""COMPUTED_VALUE"""),"Socializar los resultados de la consolidación de las actividades del Código de Integridad.")</f>
        <v>Socializar los resultados de la consolidación de las actividades del Código de Integridad.</v>
      </c>
      <c r="D174" s="10" t="str">
        <f ca="1">IFERROR(__xludf.DUMMYFUNCTION("""COMPUTED_VALUE"""),"Actas y registros de reunión de socialización y SAIA informativos recibidos por los servidores públicos")</f>
        <v>Actas y registros de reunión de socialización y SAIA informativos recibidos por los servidores públicos</v>
      </c>
      <c r="E174" s="10" t="str">
        <f ca="1">IFERROR(__xludf.DUMMYFUNCTION("""COMPUTED_VALUE"""),"100% cumplimiento de socialización del código de integridad")</f>
        <v>100% cumplimiento de socialización del código de integridad</v>
      </c>
      <c r="F174" s="11">
        <f ca="1">IFERROR(__xludf.DUMMYFUNCTION("""COMPUTED_VALUE"""),44252)</f>
        <v>44252</v>
      </c>
      <c r="G174" s="11">
        <f ca="1">IFERROR(__xludf.DUMMYFUNCTION("""COMPUTED_VALUE"""),44560)</f>
        <v>44560</v>
      </c>
      <c r="H174" s="10" t="str">
        <f ca="1">IFERROR(__xludf.DUMMYFUNCTION("""COMPUTED_VALUE"""),"Director de Talento Humano")</f>
        <v>Director de Talento Humano</v>
      </c>
      <c r="I174" s="12">
        <f ca="1">IFERROR(__xludf.DUMMYFUNCTION("""COMPUTED_VALUE"""),0.5)</f>
        <v>0.5</v>
      </c>
      <c r="J174" s="10" t="str">
        <f ca="1">IFERROR(__xludf.DUMMYFUNCTION("""COMPUTED_VALUE"""),"para la vigencia, 2022 a corte 01 de enero al 31 de marzo, no se han consolidado los resultados de  las actividades ")</f>
        <v xml:space="preserve">para la vigencia, 2022 a corte 01 de enero al 31 de marzo, no se han consolidado los resultados de  las actividades </v>
      </c>
      <c r="K174" s="11">
        <f ca="1">IFERROR(__xludf.DUMMYFUNCTION("""COMPUTED_VALUE"""),44650)</f>
        <v>44650</v>
      </c>
      <c r="L174" s="12">
        <f ca="1">IFERROR(__xludf.DUMMYFUNCTION("""COMPUTED_VALUE"""),0.7)</f>
        <v>0.7</v>
      </c>
      <c r="M174" s="10" t="str">
        <f ca="1">IFERROR(__xludf.DUMMYFUNCTION("""COMPUTED_VALUE"""),"para la vigencia  evaluada con corte 30 de marzo  al 30 de junio 2022, se cuenta con el plan de acción que permite evidenciar las actividades desarrolladas, a su vez la pagina web se socializo el código de integridad")</f>
        <v>para la vigencia  evaluada con corte 30 de marzo  al 30 de junio 2022, se cuenta con el plan de acción que permite evidenciar las actividades desarrolladas, a su vez la pagina web se socializo el código de integridad</v>
      </c>
      <c r="N174" s="11">
        <f ca="1">IFERROR(__xludf.DUMMYFUNCTION("""COMPUTED_VALUE"""),44742)</f>
        <v>44742</v>
      </c>
      <c r="O174" s="12">
        <f ca="1">IFERROR(__xludf.DUMMYFUNCTION("""COMPUTED_VALUE"""),0.8)</f>
        <v>0.8</v>
      </c>
      <c r="P174" s="10" t="str">
        <f ca="1">IFERROR(__xludf.DUMMYFUNCTION("""COMPUTED_VALUE"""),"Para la vigencia evaluada con corte 01 de julio al 30 de septiembre 2022,se cuenta con el 82 %  de avance con  evidenciar las actividades desarrolladas, en el plan de acción que permite evidenciar las actividades desarrolladas, a su vez la pagina web se s"&amp;"ocializo el código de integridad")</f>
        <v>Para la vigencia evaluada con corte 01 de julio al 30 de septiembre 2022,se cuenta con el 82 %  de avance con  evidenciar las actividades desarrolladas, en el plan de acción que permite evidenciar las actividades desarrolladas, a su vez la pagina web se socializo el código de integridad</v>
      </c>
      <c r="Q174" s="11">
        <f ca="1">IFERROR(__xludf.DUMMYFUNCTION("""COMPUTED_VALUE"""),44834)</f>
        <v>44834</v>
      </c>
      <c r="R174" s="12">
        <f ca="1">IFERROR(__xludf.DUMMYFUNCTION("""COMPUTED_VALUE"""),1)</f>
        <v>1</v>
      </c>
      <c r="S174" s="10" t="str">
        <f ca="1">IFERROR(__xludf.DUMMYFUNCTION("""COMPUTED_VALUE"""),"Para la vigencia evaluada con corte 01 de octubre al 30 de diciembre de 2022, se cuento con el 100% de avance con evidenciar las actividades desarrolladas, en el plan de acción, con evidencias de la socialización del código de integridad")</f>
        <v>Para la vigencia evaluada con corte 01 de octubre al 30 de diciembre de 2022, se cuento con el 100% de avance con evidenciar las actividades desarrolladas, en el plan de acción, con evidencias de la socialización del código de integridad</v>
      </c>
      <c r="T174" s="11">
        <f ca="1">IFERROR(__xludf.DUMMYFUNCTION("""COMPUTED_VALUE"""),44925)</f>
        <v>44925</v>
      </c>
      <c r="U174" s="10"/>
    </row>
    <row r="175" spans="1:21" ht="409.5" x14ac:dyDescent="0.2">
      <c r="A175" s="10" t="str">
        <f ca="1">IFERROR(__xludf.DUMMYFUNCTION("""COMPUTED_VALUE"""),"Talento Humano")</f>
        <v>Talento Humano</v>
      </c>
      <c r="B175" s="10" t="str">
        <f ca="1">IFERROR(__xludf.DUMMYFUNCTION("""COMPUTED_VALUE"""),"Integridad")</f>
        <v>Integridad</v>
      </c>
      <c r="C175" s="10" t="str">
        <f ca="1">IFERROR(__xludf.DUMMYFUNCTION("""COMPUTED_VALUE"""),"Documentar las buenas practicas de la entidad en materia de Integridad que permitan alimentar la próximo intervención del Código.")</f>
        <v>Documentar las buenas practicas de la entidad en materia de Integridad que permitan alimentar la próximo intervención del Código.</v>
      </c>
      <c r="D175" s="10" t="str">
        <f ca="1">IFERROR(__xludf.DUMMYFUNCTION("""COMPUTED_VALUE"""),"informe de desarrollo de buenas practicas de la entidad en el código de integridad")</f>
        <v>informe de desarrollo de buenas practicas de la entidad en el código de integridad</v>
      </c>
      <c r="E175" s="10" t="str">
        <f ca="1">IFERROR(__xludf.DUMMYFUNCTION("""COMPUTED_VALUE"""),"100% cumplimiento las buenas practicas ejecución del código de integridad")</f>
        <v>100% cumplimiento las buenas practicas ejecución del código de integridad</v>
      </c>
      <c r="F175" s="11">
        <f ca="1">IFERROR(__xludf.DUMMYFUNCTION("""COMPUTED_VALUE"""),44252)</f>
        <v>44252</v>
      </c>
      <c r="G175" s="11">
        <f ca="1">IFERROR(__xludf.DUMMYFUNCTION("""COMPUTED_VALUE"""),44560)</f>
        <v>44560</v>
      </c>
      <c r="H175" s="10" t="str">
        <f ca="1">IFERROR(__xludf.DUMMYFUNCTION("""COMPUTED_VALUE"""),"Director de Talento Humano")</f>
        <v>Director de Talento Humano</v>
      </c>
      <c r="I175" s="12">
        <f ca="1">IFERROR(__xludf.DUMMYFUNCTION("""COMPUTED_VALUE"""),0.77)</f>
        <v>0.77</v>
      </c>
      <c r="J175" s="10" t="str">
        <f ca="1">IFERROR(__xludf.DUMMYFUNCTION("""COMPUTED_VALUE"""),"para la vigencia, 2022 a corte 01 de enero al 31 de marzo,  se cuenta con el plan de acción y las evidencias de las actividades ejecutadas  las cuales incluye las certificaciones de los funcionarios que realizaron el curso y se encuentra en sus hojas de v"&amp;"ida")</f>
        <v>para la vigencia, 2022 a corte 01 de enero al 31 de marzo,  se cuenta con el plan de acción y las evidencias de las actividades ejecutadas  las cuales incluye las certificaciones de los funcionarios que realizaron el curso y se encuentra en sus hojas de vida</v>
      </c>
      <c r="K175" s="11">
        <f ca="1">IFERROR(__xludf.DUMMYFUNCTION("""COMPUTED_VALUE"""),44650)</f>
        <v>44650</v>
      </c>
      <c r="L175" s="12">
        <f ca="1">IFERROR(__xludf.DUMMYFUNCTION("""COMPUTED_VALUE"""),0.8)</f>
        <v>0.8</v>
      </c>
      <c r="M175" s="10" t="str">
        <f ca="1">IFERROR(__xludf.DUMMYFUNCTION("""COMPUTED_VALUE"""),"para la vigencia  evaluada con corte 30 de marzo  al 30 de junio 2022,se cuenta con el plan de acción y las evidencias de las actividades ejecutadas  las cuales incluye las certificaciones de los funcionarios que realizaron el curso y se encuentra en sus "&amp;"hojas de vida")</f>
        <v>para la vigencia  evaluada con corte 30 de marzo  al 30 de junio 2022,se cuenta con el plan de acción y las evidencias de las actividades ejecutadas  las cuales incluye las certificaciones de los funcionarios que realizaron el curso y se encuentra en sus hojas de vida</v>
      </c>
      <c r="N175" s="11">
        <f ca="1">IFERROR(__xludf.DUMMYFUNCTION("""COMPUTED_VALUE"""),44742)</f>
        <v>44742</v>
      </c>
      <c r="O175" s="12">
        <f ca="1">IFERROR(__xludf.DUMMYFUNCTION("""COMPUTED_VALUE"""),0.8)</f>
        <v>0.8</v>
      </c>
      <c r="P175" s="10" t="str">
        <f ca="1">IFERROR(__xludf.DUMMYFUNCTION("""COMPUTED_VALUE"""),"Para la vigencia evaluada con corte 01 de julio al 30 de septiembre 2022,se cuenta con el plan de acción y las evidencias de las actividades ejecutadas  las cuales incluye las certificaciones de los funcionarios que realizaron el curso y se encuentra en s"&amp;"us hojas de vida")</f>
        <v>Para la vigencia evaluada con corte 01 de julio al 30 de septiembre 2022,se cuenta con el plan de acción y las evidencias de las actividades ejecutadas  las cuales incluye las certificaciones de los funcionarios que realizaron el curso y se encuentra en sus hojas de vida</v>
      </c>
      <c r="Q175" s="11">
        <f ca="1">IFERROR(__xludf.DUMMYFUNCTION("""COMPUTED_VALUE"""),44834)</f>
        <v>44834</v>
      </c>
      <c r="R175" s="12">
        <f ca="1">IFERROR(__xludf.DUMMYFUNCTION("""COMPUTED_VALUE"""),1)</f>
        <v>1</v>
      </c>
      <c r="S175" s="10" t="str">
        <f ca="1">IFERROR(__xludf.DUMMYFUNCTION("""COMPUTED_VALUE"""),"Para la vigencia evaluada con corte 01 de octubre al 30 de diciembre de 2022, se cuento con el plan de acción y las evidencias de las actividades ejecutadas las cuales incluye las certificaciones de los funcionarios que realizaron el curso y se encuentra "&amp;"en sus hojas de vida, a su vez se realizo un informe de desarrollo de buenas practicas de la entidad en el código de integridad, se aporto a el mapa de riesgo en iniciativas adicionales, se promoviendo los valores del código de integridad en el carrusel d"&amp;"e SAIA durante toda la vigencia 2022,")</f>
        <v>Para la vigencia evaluada con corte 01 de octubre al 30 de diciembre de 2022, se cuento con el plan de acción y las evidencias de las actividades ejecutadas las cuales incluye las certificaciones de los funcionarios que realizaron el curso y se encuentra en sus hojas de vida, a su vez se realizo un informe de desarrollo de buenas practicas de la entidad en el código de integridad, se aporto a el mapa de riesgo en iniciativas adicionales, se promoviendo los valores del código de integridad en el carrusel de SAIA durante toda la vigencia 2022,</v>
      </c>
      <c r="T175" s="11">
        <f ca="1">IFERROR(__xludf.DUMMYFUNCTION("""COMPUTED_VALUE"""),44925)</f>
        <v>44925</v>
      </c>
      <c r="U175" s="10"/>
    </row>
    <row r="176" spans="1:21" ht="409.5" x14ac:dyDescent="0.2">
      <c r="A176" s="10" t="str">
        <f ca="1">IFERROR(__xludf.DUMMYFUNCTION("""COMPUTED_VALUE"""),"Talento Humano")</f>
        <v>Talento Humano</v>
      </c>
      <c r="B176" s="10" t="str">
        <f ca="1">IFERROR(__xludf.DUMMYFUNCTION("""COMPUTED_VALUE"""),"Integridad")</f>
        <v>Integridad</v>
      </c>
      <c r="C176" s="10" t="str">
        <f ca="1">IFERROR(__xludf.DUMMYFUNCTION("""COMPUTED_VALUE"""),"Plan de Mejoramiento FURAG 2019 I06 PREGUNTA 49. implementar estrategias para la identificación y declaración de conflictos de interés")</f>
        <v>Plan de Mejoramiento FURAG 2019 I06 PREGUNTA 49. implementar estrategias para la identificación y declaración de conflictos de interés</v>
      </c>
      <c r="D176" s="10" t="str">
        <f ca="1">IFERROR(__xludf.DUMMYFUNCTION("""COMPUTED_VALUE"""),"declaración de conflictos de interés de funcionarios que ostentan cargos directivos, supervisores de contratos, interventores, servidores públicos que se encuentran en áreas de inspección, vigilancia y control")</f>
        <v>declaración de conflictos de interés de funcionarios que ostentan cargos directivos, supervisores de contratos, interventores, servidores públicos que se encuentran en áreas de inspección, vigilancia y control</v>
      </c>
      <c r="E176" s="10" t="str">
        <f ca="1">IFERROR(__xludf.DUMMYFUNCTION("""COMPUTED_VALUE"""),"Formato establecido para declaración de conflicto de interés diligenciado y evaluado")</f>
        <v>Formato establecido para declaración de conflicto de interés diligenciado y evaluado</v>
      </c>
      <c r="F176" s="11">
        <f ca="1">IFERROR(__xludf.DUMMYFUNCTION("""COMPUTED_VALUE"""),44252)</f>
        <v>44252</v>
      </c>
      <c r="G176" s="11">
        <f ca="1">IFERROR(__xludf.DUMMYFUNCTION("""COMPUTED_VALUE"""),44560)</f>
        <v>44560</v>
      </c>
      <c r="H176" s="10" t="str">
        <f ca="1">IFERROR(__xludf.DUMMYFUNCTION("""COMPUTED_VALUE"""),"Director de Talento Humano")</f>
        <v>Director de Talento Humano</v>
      </c>
      <c r="I176" s="12">
        <f ca="1">IFERROR(__xludf.DUMMYFUNCTION("""COMPUTED_VALUE"""),0.86)</f>
        <v>0.86</v>
      </c>
      <c r="J176" s="10" t="str">
        <f ca="1">IFERROR(__xludf.DUMMYFUNCTION("""COMPUTED_VALUE"""),"se cuenta con el  formato de declaración anual de conflicto de Interés , así como la declaración de Bienes y Rentas de los funcionarios que están obligados a realizar el proceso, el  formato de declaración anual de conflicto de Interés  se encuentra en ca"&amp;"da una de las Hojas de vida , El link para el aplicativo de diligenciamiento,  www.funcionpublica.gov.co/fdci/consultaCiudadana/index?tipoPersonaId=26&amp;razonSocial=&amp;numeroDocumento=&amp;entidad=ALCALDIA+DE+PEREIRA&amp;fechaFinalizacionDesde=&amp;fechaFinalizacionHasta"&amp;"=&amp;find=Buscar#resultadosBusqueda")</f>
        <v>se cuenta con el  formato de declaración anual de conflicto de Interés , así como la declaración de Bienes y Rentas de los funcionarios que están obligados a realizar el proceso, el  formato de declaración anual de conflicto de Interés  se encuentra en cada una de las Hojas de vida , El link para el aplicativo de diligenciamiento,  www.funcionpublica.gov.co/fdci/consultaCiudadana/index?tipoPersonaId=26&amp;razonSocial=&amp;numeroDocumento=&amp;entidad=ALCALDIA+DE+PEREIRA&amp;fechaFinalizacionDesde=&amp;fechaFinalizacionHasta=&amp;find=Buscar#resultadosBusqueda</v>
      </c>
      <c r="K176" s="11">
        <f ca="1">IFERROR(__xludf.DUMMYFUNCTION("""COMPUTED_VALUE"""),44650)</f>
        <v>44650</v>
      </c>
      <c r="L176" s="12">
        <f ca="1">IFERROR(__xludf.DUMMYFUNCTION("""COMPUTED_VALUE"""),0.88)</f>
        <v>0.88</v>
      </c>
      <c r="M176" s="10" t="str">
        <f ca="1">IFERROR(__xludf.DUMMYFUNCTION("""COMPUTED_VALUE"""),"para la vigencia  evaluada con corte 30 de marzo  al 30 de junio 2022,  como estrategia se esta invitando a realizar la declaración de conflicto de interés mediante  CIRCULAR No. 154 / CIRCULAR No. 182 ELABORACIÓN DECLARACIÓN DE BIENES Y RENTAS T DECLARAC"&amp;"ION DE CONFLICTO DE INTERES a su vez En las hojas de vida de los funcionarios, reposan las certificaciones que han realizado a la fecha de este reporte ")</f>
        <v xml:space="preserve">para la vigencia  evaluada con corte 30 de marzo  al 30 de junio 2022,  como estrategia se esta invitando a realizar la declaración de conflicto de interés mediante  CIRCULAR No. 154 / CIRCULAR No. 182 ELABORACIÓN DECLARACIÓN DE BIENES Y RENTAS T DECLARACION DE CONFLICTO DE INTERES a su vez En las hojas de vida de los funcionarios, reposan las certificaciones que han realizado a la fecha de este reporte </v>
      </c>
      <c r="N176" s="11">
        <f ca="1">IFERROR(__xludf.DUMMYFUNCTION("""COMPUTED_VALUE"""),44742)</f>
        <v>44742</v>
      </c>
      <c r="O176" s="12">
        <f ca="1">IFERROR(__xludf.DUMMYFUNCTION("""COMPUTED_VALUE"""),0.8)</f>
        <v>0.8</v>
      </c>
      <c r="P176" s="10" t="str">
        <f ca="1">IFERROR(__xludf.DUMMYFUNCTION("""COMPUTED_VALUE"""),"Para la vigencia evaluada con corte 01 de julio al 30 de septiembre 2022, de 69 Directivos que deben prestar, el formato establecido declaracion de  conflicto de interés , se cuenta con el reporte de 56, que  ya la presentaron, quedando pendiente  13 Dire"&amp;"ctivos por presentar
correspondiente al 81% ya lo presentaron")</f>
        <v>Para la vigencia evaluada con corte 01 de julio al 30 de septiembre 2022, de 69 Directivos que deben prestar, el formato establecido declaracion de  conflicto de interés , se cuenta con el reporte de 56, que  ya la presentaron, quedando pendiente  13 Directivos por presentar
correspondiente al 81% ya lo presentaron</v>
      </c>
      <c r="Q176" s="11">
        <f ca="1">IFERROR(__xludf.DUMMYFUNCTION("""COMPUTED_VALUE"""),44834)</f>
        <v>44834</v>
      </c>
      <c r="R176" s="12">
        <f ca="1">IFERROR(__xludf.DUMMYFUNCTION("""COMPUTED_VALUE"""),0.96)</f>
        <v>0.96</v>
      </c>
      <c r="S176" s="10" t="str">
        <f ca="1">IFERROR(__xludf.DUMMYFUNCTION("""COMPUTED_VALUE"""),"Para la vigencia evaluada con corte 01 de octubre al 30 de diciembre de 2022, se cuenta con el formato establecido declaración de conflicto de interés , se cuenta con el reporte de 57, que ya la presentaron, quedando pendiente 12 Directivos por presentar
"&amp;" correspondiente al 82% ya lo presentaron, a su vez mediante CIRCULAR No. 367 del 04 de noviembre de 2022 se SOCIALIZACIÓN GUÍA PARA LA IDENTIFICACIÓN, PUBLICACIÓN Y
 DIVULGACIÓN DE LA DECLARACIÓN DE CONFLICTO DE INTERESES EN LA ALCALDÍA
 DE PEREIRA.")</f>
        <v>Para la vigencia evaluada con corte 01 de octubre al 30 de diciembre de 2022, se cuenta con el formato establecido declaración de conflicto de interés , se cuenta con el reporte de 57, que ya la presentaron, quedando pendiente 12 Directivos por presentar
 correspondiente al 82% ya lo presentaron, a su vez mediante CIRCULAR No. 367 del 04 de noviembre de 2022 se SOCIALIZACIÓN GUÍA PARA LA IDENTIFICACIÓN, PUBLICACIÓN Y
 DIVULGACIÓN DE LA DECLARACIÓN DE CONFLICTO DE INTERESES EN LA ALCALDÍA
 DE PEREIRA.</v>
      </c>
      <c r="T176" s="11">
        <f ca="1">IFERROR(__xludf.DUMMYFUNCTION("""COMPUTED_VALUE"""),44925)</f>
        <v>44925</v>
      </c>
      <c r="U176" s="10"/>
    </row>
    <row r="177" spans="1:21" ht="409.5" x14ac:dyDescent="0.2">
      <c r="A177" s="10" t="str">
        <f ca="1">IFERROR(__xludf.DUMMYFUNCTION("""COMPUTED_VALUE"""),"Talento Humano")</f>
        <v>Talento Humano</v>
      </c>
      <c r="B177" s="10" t="str">
        <f ca="1">IFERROR(__xludf.DUMMYFUNCTION("""COMPUTED_VALUE"""),"Integridad")</f>
        <v>Integridad</v>
      </c>
      <c r="C177" s="10" t="str">
        <f ca="1">IFERROR(__xludf.DUMMYFUNCTION("""COMPUTED_VALUE"""),"Plan de Mejoramiento FURAG 2019 I06 PREGUNTA 50 crear una campaña que permita realizar control y/o sanción de los conflictos de interés en la Entidad")</f>
        <v>Plan de Mejoramiento FURAG 2019 I06 PREGUNTA 50 crear una campaña que permita realizar control y/o sanción de los conflictos de interés en la Entidad</v>
      </c>
      <c r="D177" s="10" t="str">
        <f ca="1">IFERROR(__xludf.DUMMYFUNCTION("""COMPUTED_VALUE"""),"Campaña de comunicación, que permita generar recordación del tema y de la importancia de declarar una posible situación de conflicto de interés, con el fin de Generar una cultura de declaración dentro de los servidores públicos")</f>
        <v>Campaña de comunicación, que permita generar recordación del tema y de la importancia de declarar una posible situación de conflicto de interés, con el fin de Generar una cultura de declaración dentro de los servidores públicos</v>
      </c>
      <c r="E177" s="10" t="str">
        <f ca="1">IFERROR(__xludf.DUMMYFUNCTION("""COMPUTED_VALUE"""),"100% de actividades o campañas ejecutadas y evaluadas que permita generar recordación del tema y de la importancia de declarar una posible situación de conflicto de interés")</f>
        <v>100% de actividades o campañas ejecutadas y evaluadas que permita generar recordación del tema y de la importancia de declarar una posible situación de conflicto de interés</v>
      </c>
      <c r="F177" s="11">
        <f ca="1">IFERROR(__xludf.DUMMYFUNCTION("""COMPUTED_VALUE"""),44252)</f>
        <v>44252</v>
      </c>
      <c r="G177" s="11">
        <f ca="1">IFERROR(__xludf.DUMMYFUNCTION("""COMPUTED_VALUE"""),44560)</f>
        <v>44560</v>
      </c>
      <c r="H177" s="10" t="str">
        <f ca="1">IFERROR(__xludf.DUMMYFUNCTION("""COMPUTED_VALUE"""),"Director de Talento Humano/transversal a todas las secretarias")</f>
        <v>Director de Talento Humano/transversal a todas las secretarias</v>
      </c>
      <c r="I177" s="12">
        <f ca="1">IFERROR(__xludf.DUMMYFUNCTION("""COMPUTED_VALUE"""),0.65)</f>
        <v>0.65</v>
      </c>
      <c r="J177" s="10" t="str">
        <f ca="1">IFERROR(__xludf.DUMMYFUNCTION("""COMPUTED_VALUE"""),"para la vigencia, 2022, a corte 01 de enero al 31 de marzo, se realizo reunión con la mesa conformada para tratar los temas de conflictos de interés, se esta realizando la implementación de las estrategias.  ")</f>
        <v xml:space="preserve">para la vigencia, 2022, a corte 01 de enero al 31 de marzo, se realizo reunión con la mesa conformada para tratar los temas de conflictos de interés, se esta realizando la implementación de las estrategias.  </v>
      </c>
      <c r="K177" s="11">
        <f ca="1">IFERROR(__xludf.DUMMYFUNCTION("""COMPUTED_VALUE"""),44650)</f>
        <v>44650</v>
      </c>
      <c r="L177" s="12">
        <f ca="1">IFERROR(__xludf.DUMMYFUNCTION("""COMPUTED_VALUE"""),0.65)</f>
        <v>0.65</v>
      </c>
      <c r="M177" s="10" t="str">
        <f ca="1">IFERROR(__xludf.DUMMYFUNCTION("""COMPUTED_VALUE"""),"para la vigencia  evaluada con corte 30 de marzo  al 30 de junio 2022, en la mesa conformada por el PAAC, Control Interno Disciplinario y control Interno, se esta adelantando el proceso  para llevar a cabo las estrategias de conflictos de interés,")</f>
        <v>para la vigencia  evaluada con corte 30 de marzo  al 30 de junio 2022, en la mesa conformada por el PAAC, Control Interno Disciplinario y control Interno, se esta adelantando el proceso  para llevar a cabo las estrategias de conflictos de interés,</v>
      </c>
      <c r="N177" s="11">
        <f ca="1">IFERROR(__xludf.DUMMYFUNCTION("""COMPUTED_VALUE"""),44742)</f>
        <v>44742</v>
      </c>
      <c r="O177" s="12">
        <f ca="1">IFERROR(__xludf.DUMMYFUNCTION("""COMPUTED_VALUE"""),0.8)</f>
        <v>0.8</v>
      </c>
      <c r="P177" s="10" t="str">
        <f ca="1">IFERROR(__xludf.DUMMYFUNCTION("""COMPUTED_VALUE"""),"Para la vigencia evaluada con corte para la vigencia evaluada  a corte 30 de septiembre de 2022,   para la vigencia evaluada  a corte 30 de septiembre de 2022,  de las 15 actividades se ha ejecutado 9, las cuales  están en proceso de ejecución dado que al"&amp;"gunas de ellas se deben de realizar de forma continua, toda los documentos reposan en la Dirección Administrativa de Talento actividades, asi mismo se reporta evidencia de   2 OFICIOS  No. 321 Asunto: REGISTRO DE LOS CONFLICTOS DE INTERÉS PARA FUNCIONARIO"&amp;"S Y CONTRATISTAS:
OFICIO No. 50846 Asunto: conferencia: Conflicto de intereses de los servidores públicos: Libertad de expresión en redes sociales")</f>
        <v>Para la vigencia evaluada con corte para la vigencia evaluada  a corte 30 de septiembre de 2022,   para la vigencia evaluada  a corte 30 de septiembre de 2022,  de las 15 actividades se ha ejecutado 9, las cuales  están en proceso de ejecución dado que algunas de ellas se deben de realizar de forma continua, toda los documentos reposan en la Dirección Administrativa de Talento actividades, asi mismo se reporta evidencia de   2 OFICIOS  No. 321 Asunto: REGISTRO DE LOS CONFLICTOS DE INTERÉS PARA FUNCIONARIOS Y CONTRATISTAS:
OFICIO No. 50846 Asunto: conferencia: Conflicto de intereses de los servidores públicos: Libertad de expresión en redes sociales</v>
      </c>
      <c r="Q177" s="11">
        <f ca="1">IFERROR(__xludf.DUMMYFUNCTION("""COMPUTED_VALUE"""),44834)</f>
        <v>44834</v>
      </c>
      <c r="R177" s="12">
        <f ca="1">IFERROR(__xludf.DUMMYFUNCTION("""COMPUTED_VALUE"""),0.96)</f>
        <v>0.96</v>
      </c>
      <c r="S177" s="10" t="str">
        <f ca="1">IFERROR(__xludf.DUMMYFUNCTION("""COMPUTED_VALUE"""),"Para la vigencia evaluada con corte 01 de octubre al 30 de diciembre de 2022, de las 15 actividades se ha ejecutado 12, las cuales están en proceso de ejecución dado que algunas de ellas se deben de realizar de forma continua, toda los documentos reposan "&amp;"en la Dirección Administrativa de Talento actividades, así mismo se reporta evidencia de 2 CIRCULAR No. 367 1520 Dirección de Talento Humano 04 de noviembre de 2022 SOCIALIZACIÓN GUÍA PARA LA IDENTIFICACIÓN, PUBLICACIÓN Y DIVULGACIÓN DE LA DECLARACIÓN DE "&amp;"CONFLICTO DE INTERESES EN LA ALCALDÍA DE PEREIRA. OFICIO No. 50846 conferencia: Conflicto de intereses de los servidores públicos:")</f>
        <v>Para la vigencia evaluada con corte 01 de octubre al 30 de diciembre de 2022, de las 15 actividades se ha ejecutado 12, las cuales están en proceso de ejecución dado que algunas de ellas se deben de realizar de forma continua, toda los documentos reposan en la Dirección Administrativa de Talento actividades, así mismo se reporta evidencia de 2 CIRCULAR No. 367 1520 Dirección de Talento Humano 04 de noviembre de 2022 SOCIALIZACIÓN GUÍA PARA LA IDENTIFICACIÓN, PUBLICACIÓN Y DIVULGACIÓN DE LA DECLARACIÓN DE CONFLICTO DE INTERESES EN LA ALCALDÍA DE PEREIRA. OFICIO No. 50846 conferencia: Conflicto de intereses de los servidores públicos:</v>
      </c>
      <c r="T177" s="11">
        <f ca="1">IFERROR(__xludf.DUMMYFUNCTION("""COMPUTED_VALUE"""),44925)</f>
        <v>44925</v>
      </c>
      <c r="U177" s="10"/>
    </row>
    <row r="178" spans="1:21" ht="409.5" x14ac:dyDescent="0.2">
      <c r="A178" s="10" t="str">
        <f ca="1">IFERROR(__xludf.DUMMYFUNCTION("""COMPUTED_VALUE"""),"Talento Humano")</f>
        <v>Talento Humano</v>
      </c>
      <c r="B178" s="10" t="str">
        <f ca="1">IFERROR(__xludf.DUMMYFUNCTION("""COMPUTED_VALUE"""),"Integridad")</f>
        <v>Integridad</v>
      </c>
      <c r="C178" s="10" t="str">
        <f ca="1">IFERROR(__xludf.DUMMYFUNCTION("""COMPUTED_VALUE"""),"Plan de Mejoramiento FURAG 2022 PREGUNTA Apoyar el monitoreo de canales de comunicación, incluyendo líneas telefónicas de denuncias, por parte de los cargos que lideran de manera transversal temas estratégicos de gestión (tales como jefes de planeación, f"&amp;"inancieros, contratación, TI, servicio al ciudadano, líderes de otros sistemas de gestión, comités de riesgos).")</f>
        <v>Plan de Mejoramiento FURAG 2022 PREGUNTA Apoyar el monitoreo de canales de comunicación, incluyendo líneas telefónicas de denuncias, por parte de los cargos que lideran de manera transversal temas estratégicos de gestión (tales como jefes de planeación, financieros, contratación, TI, servicio al ciudadano, líderes de otros sistemas de gestión, comités de riesgos).</v>
      </c>
      <c r="D178" s="10" t="str">
        <f ca="1">IFERROR(__xludf.DUMMYFUNCTION("""COMPUTED_VALUE"""),"canales de comunicación, incluyendo líneas telefónicas de denuncias para declarar una posible situación de conflicto de interés, dentro de los servidores públicos")</f>
        <v>canales de comunicación, incluyendo líneas telefónicas de denuncias para declarar una posible situación de conflicto de interés, dentro de los servidores públicos</v>
      </c>
      <c r="E178" s="10" t="str">
        <f ca="1">IFERROR(__xludf.DUMMYFUNCTION("""COMPUTED_VALUE"""),"monitoreo de canales de comunicación denuncias y/o situación de conflicto de interés, dentro de los servidores públicos")</f>
        <v>monitoreo de canales de comunicación denuncias y/o situación de conflicto de interés, dentro de los servidores públicos</v>
      </c>
      <c r="F178" s="11">
        <f ca="1">IFERROR(__xludf.DUMMYFUNCTION("""COMPUTED_VALUE"""),44834)</f>
        <v>44834</v>
      </c>
      <c r="G178" s="11">
        <f ca="1">IFERROR(__xludf.DUMMYFUNCTION("""COMPUTED_VALUE"""),44560)</f>
        <v>44560</v>
      </c>
      <c r="H178" s="10" t="str">
        <f ca="1">IFERROR(__xludf.DUMMYFUNCTION("""COMPUTED_VALUE"""),"Director de Talento Humano/transversal a todas las secretarias")</f>
        <v>Director de Talento Humano/transversal a todas las secretarias</v>
      </c>
      <c r="I178" s="12"/>
      <c r="J178" s="10"/>
      <c r="K178" s="11"/>
      <c r="L178" s="12">
        <f ca="1">IFERROR(__xludf.DUMMYFUNCTION("""COMPUTED_VALUE"""),0.1)</f>
        <v>0.1</v>
      </c>
      <c r="M178" s="10" t="str">
        <f ca="1">IFERROR(__xludf.DUMMYFUNCTION("""COMPUTED_VALUE"""),"para la vigencia  evaluada con corte 30 de marzo  al 30 de junio 2022, en la mesa conformada por el PAAC, Control Interno Disciplinario y control Interno, se esta adelantando el proceso  para llevar a cabo las estrategias de canales de comunicación de con"&amp;"flictos de interés,")</f>
        <v>para la vigencia  evaluada con corte 30 de marzo  al 30 de junio 2022, en la mesa conformada por el PAAC, Control Interno Disciplinario y control Interno, se esta adelantando el proceso  para llevar a cabo las estrategias de canales de comunicación de conflictos de interés,</v>
      </c>
      <c r="N178" s="11">
        <f ca="1">IFERROR(__xludf.DUMMYFUNCTION("""COMPUTED_VALUE"""),44742)</f>
        <v>44742</v>
      </c>
      <c r="O178" s="12">
        <f ca="1">IFERROR(__xludf.DUMMYFUNCTION("""COMPUTED_VALUE"""),0.8)</f>
        <v>0.8</v>
      </c>
      <c r="P178" s="10" t="str">
        <f ca="1">IFERROR(__xludf.DUMMYFUNCTION("""COMPUTED_VALUE"""),"Para la vigencia evaluada con corte 01 de julio al 30 de septiembre 2022, Por medio de la mesas de trabajo estrategia de conflicto de interés, invitación con Radicado No. 50401, realizada el 14 de septiembre de 2022, se aprobó  la guía  para la identifica"&amp;"ción, publicación y divulgación de la declaración de conflictos de interés, en ella se  incluye el procedimiento de denuncias, esta Guía  se encuentra pendiente para su aprobación en el Comité institucional de Gestión y desempeño  que se realizara en el m"&amp;"es de octubre de la vigencia 2022, y posteriormente será socialización a todos los funcionarios y contratistas de la Alcaldía de Pereira")</f>
        <v>Para la vigencia evaluada con corte 01 de julio al 30 de septiembre 2022, Por medio de la mesas de trabajo estrategia de conflicto de interés, invitación con Radicado No. 50401, realizada el 14 de septiembre de 2022, se aprobó  la guía  para la identificación, publicación y divulgación de la declaración de conflictos de interés, en ella se  incluye el procedimiento de denuncias, esta Guía  se encuentra pendiente para su aprobación en el Comité institucional de Gestión y desempeño  que se realizara en el mes de octubre de la vigencia 2022, y posteriormente será socialización a todos los funcionarios y contratistas de la Alcaldía de Pereira</v>
      </c>
      <c r="Q178" s="11">
        <f ca="1">IFERROR(__xludf.DUMMYFUNCTION("""COMPUTED_VALUE"""),44834)</f>
        <v>44834</v>
      </c>
      <c r="R178" s="12">
        <f ca="1">IFERROR(__xludf.DUMMYFUNCTION("""COMPUTED_VALUE"""),1)</f>
        <v>1</v>
      </c>
      <c r="S178" s="10" t="str">
        <f ca="1">IFERROR(__xludf.DUMMYFUNCTION("""COMPUTED_VALUE"""),"Para la vigencia evaluada con corte 01 de octubre al 30 de diciembre de 2022, se cuenta cel canal de
 atención para la recepción de los impedimentos, recusaciones y denuncias
 impedimentosyrecusaciones@pereira.gov.co así como el instructivo y los formatos"&amp;" para la
 declaración de impedimentos tanto para funcionarios como para contratistas.
 Dicha guía también la pueden consultar en la página web de la Alcaldía de Pereira en el
 siguiente link https://www.pereira.gov.co/documentos/880/2022/.")</f>
        <v>Para la vigencia evaluada con corte 01 de octubre al 30 de diciembre de 2022, se cuenta cel canal de
 atención para la recepción de los impedimentos, recusaciones y denuncias
 impedimentosyrecusaciones@pereira.gov.co así como el instructivo y los formatos para la
 declaración de impedimentos tanto para funcionarios como para contratistas.
 Dicha guía también la pueden consultar en la página web de la Alcaldía de Pereira en el
 siguiente link https://www.pereira.gov.co/documentos/880/2022/.</v>
      </c>
      <c r="T178" s="11">
        <f ca="1">IFERROR(__xludf.DUMMYFUNCTION("""COMPUTED_VALUE"""),44925)</f>
        <v>44925</v>
      </c>
      <c r="U178" s="10"/>
    </row>
    <row r="179" spans="1:21" ht="409.5" x14ac:dyDescent="0.2">
      <c r="A179" s="10" t="str">
        <f ca="1">IFERROR(__xludf.DUMMYFUNCTION("""COMPUTED_VALUE"""),"Talento Humano")</f>
        <v>Talento Humano</v>
      </c>
      <c r="B179" s="10" t="str">
        <f ca="1">IFERROR(__xludf.DUMMYFUNCTION("""COMPUTED_VALUE"""),"Integridad")</f>
        <v>Integridad</v>
      </c>
      <c r="C179" s="10" t="str">
        <f ca="1">IFERROR(__xludf.DUMMYFUNCTION("""COMPUTED_VALUE"""),"Plan de Mejoramiento FURAG 2022 PREGUNTA Analizar factores como presiones internas o externas que puedan derivar en actos de corrupción para la identificación de riesgos de fraude y corrupción.")</f>
        <v>Plan de Mejoramiento FURAG 2022 PREGUNTA Analizar factores como presiones internas o externas que puedan derivar en actos de corrupción para la identificación de riesgos de fraude y corrupción.</v>
      </c>
      <c r="D179" s="10" t="str">
        <f ca="1">IFERROR(__xludf.DUMMYFUNCTION("""COMPUTED_VALUE"""),"Análisis factores como presiones internas o externas que puedan derivar en actos de corrupción para la identificación de riesgos de fraude y corrupción.")</f>
        <v>Análisis factores como presiones internas o externas que puedan derivar en actos de corrupción para la identificación de riesgos de fraude y corrupción.</v>
      </c>
      <c r="E179" s="10" t="str">
        <f ca="1">IFERROR(__xludf.DUMMYFUNCTION("""COMPUTED_VALUE"""),"monitoreo de canales de comunicación denuncias y/o situación de conflicto de interés, dentro de los servidores públicos")</f>
        <v>monitoreo de canales de comunicación denuncias y/o situación de conflicto de interés, dentro de los servidores públicos</v>
      </c>
      <c r="F179" s="11">
        <f ca="1">IFERROR(__xludf.DUMMYFUNCTION("""COMPUTED_VALUE"""),44834)</f>
        <v>44834</v>
      </c>
      <c r="G179" s="11">
        <f ca="1">IFERROR(__xludf.DUMMYFUNCTION("""COMPUTED_VALUE"""),44560)</f>
        <v>44560</v>
      </c>
      <c r="H179" s="10" t="str">
        <f ca="1">IFERROR(__xludf.DUMMYFUNCTION("""COMPUTED_VALUE"""),"Director de Talento Humano/transversal a todas las secretarias")</f>
        <v>Director de Talento Humano/transversal a todas las secretarias</v>
      </c>
      <c r="I179" s="12"/>
      <c r="J179" s="10"/>
      <c r="K179" s="11"/>
      <c r="L179" s="12">
        <f ca="1">IFERROR(__xludf.DUMMYFUNCTION("""COMPUTED_VALUE"""),0.1)</f>
        <v>0.1</v>
      </c>
      <c r="M179" s="10" t="str">
        <f ca="1">IFERROR(__xludf.DUMMYFUNCTION("""COMPUTED_VALUE"""),"para la vigencia  evaluada con corte 30 de marzo  al 30 de junio 2022, en la mesa conformada por el PAAC, Control Interno Disciplinario y control Interno, se esta adelantando el proceso  para llevar a cabo las estrategias de conflictos de interés,")</f>
        <v>para la vigencia  evaluada con corte 30 de marzo  al 30 de junio 2022, en la mesa conformada por el PAAC, Control Interno Disciplinario y control Interno, se esta adelantando el proceso  para llevar a cabo las estrategias de conflictos de interés,</v>
      </c>
      <c r="N179" s="11">
        <f ca="1">IFERROR(__xludf.DUMMYFUNCTION("""COMPUTED_VALUE"""),44742)</f>
        <v>44742</v>
      </c>
      <c r="O179" s="12">
        <f ca="1">IFERROR(__xludf.DUMMYFUNCTION("""COMPUTED_VALUE"""),0.8)</f>
        <v>0.8</v>
      </c>
      <c r="P179" s="10" t="str">
        <f ca="1">IFERROR(__xludf.DUMMYFUNCTION("""COMPUTED_VALUE"""),"Para la vigencia evaluada con corte 01 de julio al 30 de septiembre 2022, a la fecha ya se encuentra con el procedimiento de denuncias, el cual se encuentra en tramite de aprobación y el monitoreo de canales de comunicación denuncias y/o situación de conf"&amp;"licto de interés, dentro de los servidores públicos, se realizara una vez  se socialice el procedimiento de denuncias,
los términos indicados.")</f>
        <v>Para la vigencia evaluada con corte 01 de julio al 30 de septiembre 2022, a la fecha ya se encuentra con el procedimiento de denuncias, el cual se encuentra en tramite de aprobación y el monitoreo de canales de comunicación denuncias y/o situación de conflicto de interés, dentro de los servidores públicos, se realizara una vez  se socialice el procedimiento de denuncias,
los términos indicados.</v>
      </c>
      <c r="Q179" s="11">
        <f ca="1">IFERROR(__xludf.DUMMYFUNCTION("""COMPUTED_VALUE"""),44834)</f>
        <v>44834</v>
      </c>
      <c r="R179" s="12">
        <f ca="1">IFERROR(__xludf.DUMMYFUNCTION("""COMPUTED_VALUE"""),0.95)</f>
        <v>0.95</v>
      </c>
      <c r="S179" s="10" t="str">
        <f ca="1">IFERROR(__xludf.DUMMYFUNCTION("""COMPUTED_VALUE"""),"Para la vigencia evaluada con corte 01 de octubre al 30 de diciembre de 2022, a la fecha ya se encuentra con el procedimiento de denuncias, socializado en los canales de comunicación dentro de los servidores públicos, mediante oficio No. 65231 desde la Di"&amp;"rección de Talento Humano se solicitó a DIRECTOR(a) ADMINISTRATIVO(a) DE CONTROL INTERNO DISCIPLINARIO Asunto: Reporte de los impedimentos y recusaciones de conflicto de interés que han surtido tramite en la presente vigencia. dicha dirección mediante res"&amp;"puesta No. 65231 la DIRECTOR(a) ADMINISTRATIVO(a) DE CONTROL INTERNO DISCIPLINARIO. Asunto: Reporte de los impedimentos y recusaciones de conflicto de interés que han surtido tramite en la presente vigencia. informo que no ha tramitado asuntos relacionado"&amp;"s con impedimentos ni conflictos de interés.")</f>
        <v>Para la vigencia evaluada con corte 01 de octubre al 30 de diciembre de 2022, a la fecha ya se encuentra con el procedimiento de denuncias, socializado en los canales de comunicación dentro de los servidores públicos, mediante oficio No. 65231 desde la Dirección de Talento Humano se solicitó a DIRECTOR(a) ADMINISTRATIVO(a) DE CONTROL INTERNO DISCIPLINARIO Asunto: Reporte de los impedimentos y recusaciones de conflicto de interés que han surtido tramite en la presente vigencia. dicha dirección mediante respuesta No. 65231 la DIRECTOR(a) ADMINISTRATIVO(a) DE CONTROL INTERNO DISCIPLINARIO. Asunto: Reporte de los impedimentos y recusaciones de conflicto de interés que han surtido tramite en la presente vigencia. informo que no ha tramitado asuntos relacionados con impedimentos ni conflictos de interés.</v>
      </c>
      <c r="T179" s="11">
        <f ca="1">IFERROR(__xludf.DUMMYFUNCTION("""COMPUTED_VALUE"""),44925)</f>
        <v>44925</v>
      </c>
      <c r="U179" s="10"/>
    </row>
    <row r="180" spans="1:21" ht="409.5" x14ac:dyDescent="0.2">
      <c r="A180" s="10" t="str">
        <f ca="1">IFERROR(__xludf.DUMMYFUNCTION("""COMPUTED_VALUE"""),"Gestión con valores para resultados")</f>
        <v>Gestión con valores para resultados</v>
      </c>
      <c r="B180" s="10" t="str">
        <f ca="1">IFERROR(__xludf.DUMMYFUNCTION("""COMPUTED_VALUE"""),"Mejora Normativa")</f>
        <v>Mejora Normativa</v>
      </c>
      <c r="C180" s="10" t="str">
        <f ca="1">IFERROR(__xludf.DUMMYFUNCTION("""COMPUTED_VALUE"""),"Medir la capacidad de la entidad pública de cumplir con el procedimiento formal, manejo y seguimiento sistematizado de su producción normativa, como también su capacidad de evaluar la pertinencia de la regulación emitida en aras de simplificar, depurar o "&amp;"racionalizar su inventario normativo.")</f>
        <v>Medir la capacidad de la entidad pública de cumplir con el procedimiento formal, manejo y seguimiento sistematizado de su producción normativa, como también su capacidad de evaluar la pertinencia de la regulación emitida en aras de simplificar, depurar o racionalizar su inventario normativo.</v>
      </c>
      <c r="D180" s="10" t="str">
        <f ca="1">IFERROR(__xludf.DUMMYFUNCTION("""COMPUTED_VALUE"""),"En cumplimiento al artículo 8 de la ley 1437 de 2011 y los decretos municipales 710
 de 2019 y 174 de 2020, el proyecto del presente decreto se publicó en el respectivo Link
 de la Pagina Web de la Alcaldía de Pereira")</f>
        <v>En cumplimiento al artículo 8 de la ley 1437 de 2011 y los decretos municipales 710
 de 2019 y 174 de 2020, el proyecto del presente decreto se publicó en el respectivo Link
 de la Pagina Web de la Alcaldía de Pereira</v>
      </c>
      <c r="E180" s="10" t="str">
        <f ca="1">IFERROR(__xludf.DUMMYFUNCTION("""COMPUTED_VALUE"""),"actividad ejecutada al 100% según lo requerido")</f>
        <v>actividad ejecutada al 100% según lo requerido</v>
      </c>
      <c r="F180" s="11">
        <f ca="1">IFERROR(__xludf.DUMMYFUNCTION("""COMPUTED_VALUE"""),44562)</f>
        <v>44562</v>
      </c>
      <c r="G180" s="11">
        <f ca="1">IFERROR(__xludf.DUMMYFUNCTION("""COMPUTED_VALUE"""),44651)</f>
        <v>44651</v>
      </c>
      <c r="H180" s="10" t="str">
        <f ca="1">IFERROR(__xludf.DUMMYFUNCTION("""COMPUTED_VALUE"""),"Direccion Operativa de Asuntos Legales")</f>
        <v>Direccion Operativa de Asuntos Legales</v>
      </c>
      <c r="I180" s="12"/>
      <c r="J180" s="10"/>
      <c r="K180" s="11"/>
      <c r="L180" s="12">
        <f ca="1">IFERROR(__xludf.DUMMYFUNCTION("""COMPUTED_VALUE"""),0.9)</f>
        <v>0.9</v>
      </c>
      <c r="M180" s="14" t="str">
        <f ca="1">IFERROR(__xludf.DUMMYFUNCTION("""COMPUTED_VALUE"""),"https://www.pereira.gov.co/documentos/43/normatividad-de-orden-territorial/")</f>
        <v>https://www.pereira.gov.co/documentos/43/normatividad-de-orden-territorial/</v>
      </c>
      <c r="N180" s="11"/>
      <c r="O180" s="12">
        <f ca="1">IFERROR(__xludf.DUMMYFUNCTION("""COMPUTED_VALUE"""),0.9)</f>
        <v>0.9</v>
      </c>
      <c r="P180" s="10" t="str">
        <f ca="1">IFERROR(__xludf.DUMMYFUNCTION("""COMPUTED_VALUE"""),"Se realiza reunion virtual con el Ministerio del Interior y de Justicia -Dirección de Desarrollo del Derecho y del Ordenamiento Jurídico el dia 21 de septiembre, con el fin de iniciar con depuracion normativa escalada de la Administracion Municipal, se ad"&amp;"junta listado de asistencia y correo institucional donde se envia el link de conexion.  EVIDENCIAS: https://drive.google.com/drive/folders/1-_cUWfYpR0WFg2QBW5zzIT2Kdu-SjjnI?usp=sharing ")</f>
        <v xml:space="preserve">Se realiza reunion virtual con el Ministerio del Interior y de Justicia -Dirección de Desarrollo del Derecho y del Ordenamiento Jurídico el dia 21 de septiembre, con el fin de iniciar con depuracion normativa escalada de la Administracion Municipal, se adjunta listado de asistencia y correo institucional donde se envia el link de conexion.  EVIDENCIAS: https://drive.google.com/drive/folders/1-_cUWfYpR0WFg2QBW5zzIT2Kdu-SjjnI?usp=sharing </v>
      </c>
      <c r="Q180" s="11"/>
      <c r="R180" s="12">
        <f ca="1">IFERROR(__xludf.DUMMYFUNCTION("""COMPUTED_VALUE"""),0.9)</f>
        <v>0.9</v>
      </c>
      <c r="S180" s="10" t="str">
        <f ca="1">IFERROR(__xludf.DUMMYFUNCTION("""COMPUTED_VALUE"""),"se realiza la digitalizacion de las resoluciones del año 2016 al 2018 con el fin de dar cumplimiento, con el objetivo principal de realizar la depuracion normativa de la administracion Municipal https://drive.google.com/drive/folders/1-vu_GaQgKiKjZWGX2poO"&amp;"RXKdpZQEj6Za?usp=sharing ")</f>
        <v xml:space="preserve">se realiza la digitalizacion de las resoluciones del año 2016 al 2018 con el fin de dar cumplimiento, con el objetivo principal de realizar la depuracion normativa de la administracion Municipal https://drive.google.com/drive/folders/1-vu_GaQgKiKjZWGX2poORXKdpZQEj6Za?usp=sharing </v>
      </c>
      <c r="T180" s="11"/>
      <c r="U180" s="10"/>
    </row>
    <row r="181" spans="1:21" ht="409.5" x14ac:dyDescent="0.2">
      <c r="A181" s="10" t="str">
        <f ca="1">IFERROR(__xludf.DUMMYFUNCTION("""COMPUTED_VALUE"""),"Gestión con valores para resultados")</f>
        <v>Gestión con valores para resultados</v>
      </c>
      <c r="B181" s="10" t="str">
        <f ca="1">IFERROR(__xludf.DUMMYFUNCTION("""COMPUTED_VALUE"""),"Mejora Normativa")</f>
        <v>Mejora Normativa</v>
      </c>
      <c r="C181" s="10" t="str">
        <f ca="1">IFERROR(__xludf.DUMMYFUNCTION("""COMPUTED_VALUE"""),"Medir la capacidad de la entidad pública de cumplir con el procedimiento formal de publicación de normas y la participación ciudadana, de la solución de las problemáticas que hacen necesaria la elaboración de una norma de solución directa con el conflicto"&amp;" social, cumpliendo con la normatividad vigente de publicación la ley 1712 de 2014 implementando la agenda regulatoria como mecanismo necesario para la publicación y divulgación de los proyectos de decretos de ámbito general que contengan un impacto direc"&amp;"to en la ciudadanía del Municipio de Pereira.")</f>
        <v>Medir la capacidad de la entidad pública de cumplir con el procedimiento formal de publicación de normas y la participación ciudadana, de la solución de las problemáticas que hacen necesaria la elaboración de una norma de solución directa con el conflicto social, cumpliendo con la normatividad vigente de publicación la ley 1712 de 2014 implementando la agenda regulatoria como mecanismo necesario para la publicación y divulgación de los proyectos de decretos de ámbito general que contengan un impacto directo en la ciudadanía del Municipio de Pereira.</v>
      </c>
      <c r="D181" s="10" t="str">
        <f ca="1">IFERROR(__xludf.DUMMYFUNCTION("""COMPUTED_VALUE"""),"Con el propósito de ofrecer seguridad jurídica, la compilacion de la normatividad vigente utilizada en el desarrollo administrativo de la entidad esta confomada de acuerdo a los lineamientos establecidos en el CONPES y en la Ley 1712 de 2014 seccion de tr"&amp;"ansparencia y acceso a la informacion Publica Nacional.")</f>
        <v>Con el propósito de ofrecer seguridad jurídica, la compilacion de la normatividad vigente utilizada en el desarrollo administrativo de la entidad esta confomada de acuerdo a los lineamientos establecidos en el CONPES y en la Ley 1712 de 2014 seccion de transparencia y acceso a la informacion Publica Nacional.</v>
      </c>
      <c r="E181" s="10" t="str">
        <f ca="1">IFERROR(__xludf.DUMMYFUNCTION("""COMPUTED_VALUE"""),"actividad ejecutada al 100% según lo requerido")</f>
        <v>actividad ejecutada al 100% según lo requerido</v>
      </c>
      <c r="F181" s="11">
        <f ca="1">IFERROR(__xludf.DUMMYFUNCTION("""COMPUTED_VALUE"""),44562)</f>
        <v>44562</v>
      </c>
      <c r="G181" s="11">
        <f ca="1">IFERROR(__xludf.DUMMYFUNCTION("""COMPUTED_VALUE"""),44651)</f>
        <v>44651</v>
      </c>
      <c r="H181" s="10" t="str">
        <f ca="1">IFERROR(__xludf.DUMMYFUNCTION("""COMPUTED_VALUE"""),"Direccion Operativa de Asuntos Legales y Secretaria de las TICS")</f>
        <v>Direccion Operativa de Asuntos Legales y Secretaria de las TICS</v>
      </c>
      <c r="I181" s="12"/>
      <c r="J181" s="10"/>
      <c r="K181" s="11"/>
      <c r="L181" s="12">
        <f ca="1">IFERROR(__xludf.DUMMYFUNCTION("""COMPUTED_VALUE"""),0.86)</f>
        <v>0.86</v>
      </c>
      <c r="M181" s="10" t="str">
        <f ca="1">IFERROR(__xludf.DUMMYFUNCTION("""COMPUTED_VALUE"""),"se realiza la digitalizacion de los actos administrativos de carácter general de los años 2005 al 2022 con el fin de iniciar la primer fase de la depuracion normativa, la cual es iniciar con un inventario normativo de la Alcaldia de Pereira.")</f>
        <v>se realiza la digitalizacion de los actos administrativos de carácter general de los años 2005 al 2022 con el fin de iniciar la primer fase de la depuracion normativa, la cual es iniciar con un inventario normativo de la Alcaldia de Pereira.</v>
      </c>
      <c r="N181" s="11"/>
      <c r="O181" s="12">
        <f ca="1">IFERROR(__xludf.DUMMYFUNCTION("""COMPUTED_VALUE"""),0.9)</f>
        <v>0.9</v>
      </c>
      <c r="P181" s="10" t="str">
        <f ca="1">IFERROR(__xludf.DUMMYFUNCTION("""COMPUTED_VALUE"""),"El dia 29 de septiembre se realiza socializacion de la implementacion de la agenda regulatoria en el Municipio de Pereira, convocando a todas las dependencias para la asignacion de un funcionario encargado quien sumistrara la informacion solcitada en la a"&amp;"genda de cada despacho, se adjunta material fotografico y listado de asistencia de primer socialiazion de la implementacion de la agenda regulatoria. EVIDENCIAS: https://drive.google.com/drive/folders/1LMIulV6Dt8Stqp3eycb-vr5HpY1xGmb5?usp=sharing")</f>
        <v>El dia 29 de septiembre se realiza socializacion de la implementacion de la agenda regulatoria en el Municipio de Pereira, convocando a todas las dependencias para la asignacion de un funcionario encargado quien sumistrara la informacion solcitada en la agenda de cada despacho, se adjunta material fotografico y listado de asistencia de primer socialiazion de la implementacion de la agenda regulatoria. EVIDENCIAS: https://drive.google.com/drive/folders/1LMIulV6Dt8Stqp3eycb-vr5HpY1xGmb5?usp=sharing</v>
      </c>
      <c r="Q181" s="11"/>
      <c r="R181" s="12">
        <f ca="1">IFERROR(__xludf.DUMMYFUNCTION("""COMPUTED_VALUE"""),0.9)</f>
        <v>0.9</v>
      </c>
      <c r="S181" s="10" t="str">
        <f ca="1">IFERROR(__xludf.DUMMYFUNCTION("""COMPUTED_VALUE"""),"El dia 14 de diciembre del 2022, a las 10:30 se realizara la capacitacion e implementacion de la agenda regulatoria, con los funcionarios asignados por cada despacho, con el fin de realizar las plublicaciones a tiempo en la matriz general para el cierre d"&amp;"el año lectivo.")</f>
        <v>El dia 14 de diciembre del 2022, a las 10:30 se realizara la capacitacion e implementacion de la agenda regulatoria, con los funcionarios asignados por cada despacho, con el fin de realizar las plublicaciones a tiempo en la matriz general para el cierre del año lectivo.</v>
      </c>
      <c r="T181" s="11"/>
      <c r="U181" s="10"/>
    </row>
    <row r="182" spans="1:21" ht="409.5" x14ac:dyDescent="0.2">
      <c r="A182" s="10" t="str">
        <f ca="1">IFERROR(__xludf.DUMMYFUNCTION("""COMPUTED_VALUE"""),"Información y Comunicación")</f>
        <v>Información y Comunicación</v>
      </c>
      <c r="B182" s="10" t="str">
        <f ca="1">IFERROR(__xludf.DUMMYFUNCTION("""COMPUTED_VALUE"""),"Transparencia, acceso a la información pública y lucha contra la corrupción 
")</f>
        <v xml:space="preserve">Transparencia, acceso a la información pública y lucha contra la corrupción 
</v>
      </c>
      <c r="C182" s="10" t="str">
        <f ca="1">IFERROR(__xludf.DUMMYFUNCTION("""COMPUTED_VALUE"""),"Realizar seguimiento y control al Mapa de Riesgos de Corrupción 2022")</f>
        <v>Realizar seguimiento y control al Mapa de Riesgos de Corrupción 2022</v>
      </c>
      <c r="D182" s="10" t="str">
        <f ca="1">IFERROR(__xludf.DUMMYFUNCTION("""COMPUTED_VALUE"""),"No de seguimientos realizados en el año")</f>
        <v>No de seguimientos realizados en el año</v>
      </c>
      <c r="E182" s="10" t="str">
        <f ca="1">IFERROR(__xludf.DUMMYFUNCTION("""COMPUTED_VALUE"""),"No. seguimientos realizados al año / No. de seguimientos programados en el año")</f>
        <v>No. seguimientos realizados al año / No. de seguimientos programados en el año</v>
      </c>
      <c r="F182" s="11">
        <f ca="1">IFERROR(__xludf.DUMMYFUNCTION("""COMPUTED_VALUE"""),44562)</f>
        <v>44562</v>
      </c>
      <c r="G182" s="11">
        <f ca="1">IFERROR(__xludf.DUMMYFUNCTION("""COMPUTED_VALUE"""),44926)</f>
        <v>44926</v>
      </c>
      <c r="H182" s="10" t="str">
        <f ca="1">IFERROR(__xludf.DUMMYFUNCTION("""COMPUTED_VALUE"""),"Oficina asesora de Control Interno")</f>
        <v>Oficina asesora de Control Interno</v>
      </c>
      <c r="I182" s="12">
        <f ca="1">IFERROR(__xludf.DUMMYFUNCTION("""COMPUTED_VALUE"""),0)</f>
        <v>0</v>
      </c>
      <c r="J182" s="10" t="str">
        <f ca="1">IFERROR(__xludf.DUMMYFUNCTION("""COMPUTED_VALUE"""),"La oficina Asesora de Control Interno mediante SAIA N. 18729 de fecha 8 de abril de 2022 informa que dichos seguimientos se hacen de manera cuatrimestral; es decir que el próximo informe se realizará con corte al 30 de abril 2022, y la información será pu"&amp;"blicada en los primero 10 días hábiles del mes de mayo del año 2022 como lo indica la norma.")</f>
        <v>La oficina Asesora de Control Interno mediante SAIA N. 18729 de fecha 8 de abril de 2022 informa que dichos seguimientos se hacen de manera cuatrimestral; es decir que el próximo informe se realizará con corte al 30 de abril 2022, y la información será publicada en los primero 10 días hábiles del mes de mayo del año 2022 como lo indica la norma.</v>
      </c>
      <c r="K182" s="11">
        <f ca="1">IFERROR(__xludf.DUMMYFUNCTION("""COMPUTED_VALUE"""),44670)</f>
        <v>44670</v>
      </c>
      <c r="L182" s="12">
        <f ca="1">IFERROR(__xludf.DUMMYFUNCTION("""COMPUTED_VALUE"""),0.33)</f>
        <v>0.33</v>
      </c>
      <c r="M182" s="10" t="str">
        <f ca="1">IFERROR(__xludf.DUMMYFUNCTION("""COMPUTED_VALUE"""),"La oficina Asesora de Control Interno mediante SAIA N.34395 de fecha 11 de julio de 2022 informa que realiza dichos seguimientos de manera cuatrimestral; es decir que el próximo informe se realizará con corte al 30 de agosto 2022, y la información será pu"&amp;"blicada en los primero 10 días hábiles del mes de septiembre como lo indica la norma; en lo que va corrido del 2022 se publicó el informe Mapa de Riesgos y PAAC con corte Septiembre – Diciembre 2021, y enero – abril 2022, información que se publicó en los"&amp;" primeros 10 días del mes de enero y mayo de 2022 respectivamente; de lo cual queda como evidencia la ruta que se relaciona a continuación. transparencia-informes de gestión y evaluación transparencia-mapas de riesgo.  URL: https://www.pereira.gov.co/docu"&amp;"mentos/841/2022/")</f>
        <v>La oficina Asesora de Control Interno mediante SAIA N.34395 de fecha 11 de julio de 2022 informa que realiza dichos seguimientos de manera cuatrimestral; es decir que el próximo informe se realizará con corte al 30 de agosto 2022, y la información será publicada en los primero 10 días hábiles del mes de septiembre como lo indica la norma; en lo que va corrido del 2022 se publicó el informe Mapa de Riesgos y PAAC con corte Septiembre – Diciembre 2021, y enero – abril 2022, información que se publicó en los primeros 10 días del mes de enero y mayo de 2022 respectivamente; de lo cual queda como evidencia la ruta que se relaciona a continuación. transparencia-informes de gestión y evaluación transparencia-mapas de riesgo.  URL: https://www.pereira.gov.co/documentos/841/2022/</v>
      </c>
      <c r="N182" s="11">
        <f ca="1">IFERROR(__xludf.DUMMYFUNCTION("""COMPUTED_VALUE"""),44742)</f>
        <v>44742</v>
      </c>
      <c r="O182" s="12">
        <f ca="1">IFERROR(__xludf.DUMMYFUNCTION("""COMPUTED_VALUE"""),0.66)</f>
        <v>0.66</v>
      </c>
      <c r="P182" s="10" t="str">
        <f ca="1">IFERROR(__xludf.DUMMYFUNCTION("""COMPUTED_VALUE"""),"La oficina Asesora de Control Interno mediante saia N. 56164 de fecha 06 de octubre de 2022 informa que realiza  seguimientos de manera cuatrimestral; es decir, que el próximo informe se realizará con corte al 30 de diciembre de 2022, y la información ser"&amp;"á publicada en los primero 10 días hábiles del mes de enero de 2023 como lo indica la norma; en lo que va corrido del 2022 se publicó el informe Mapa de Riesgos y PAAC con corte Septiembre – Diciembre 2021, y enero – abril  -  mayo -agosto de 2022, de lo "&amp;"cual queda como evidencia la ruta que se relaciona a continuación. https://www.pereira.gov.co/documentos/1002/2022/  ")</f>
        <v xml:space="preserve">La oficina Asesora de Control Interno mediante saia N. 56164 de fecha 06 de octubre de 2022 informa que realiza  seguimientos de manera cuatrimestral; es decir, que el próximo informe se realizará con corte al 30 de diciembre de 2022, y la información será publicada en los primero 10 días hábiles del mes de enero de 2023 como lo indica la norma; en lo que va corrido del 2022 se publicó el informe Mapa de Riesgos y PAAC con corte Septiembre – Diciembre 2021, y enero – abril  -  mayo -agosto de 2022, de lo cual queda como evidencia la ruta que se relaciona a continuación. https://www.pereira.gov.co/documentos/1002/2022/  </v>
      </c>
      <c r="Q182" s="11">
        <f ca="1">IFERROR(__xludf.DUMMYFUNCTION("""COMPUTED_VALUE"""),44834)</f>
        <v>44834</v>
      </c>
      <c r="R182" s="12">
        <f ca="1">IFERROR(__xludf.DUMMYFUNCTION("""COMPUTED_VALUE"""),1)</f>
        <v>1</v>
      </c>
      <c r="S182" s="10" t="str">
        <f ca="1">IFERROR(__xludf.DUMMYFUNCTION("""COMPUTED_VALUE"""),"La oficina Asesora de Control Interno mediante SAIA N.70410 de fecha 03 de diciembre de 2022 informa que realiza dichos seguimientos de manera cuatrimestral; es decir que el próximo informe se realizará con corte al 30 de diciembre de 2022, y la informaci"&amp;"ón será publicada en los primeros 10 días hábiles del mes de enero de 2023 como lo indica la norma; en lo que va corrido del 2022 se publicó el informe Mapa de Riesgos y PAAC con corte Septiembre – Diciembre 2021, y enero – abri- mayo- agosto de 2022, de "&amp;"lo cual queda como evidencia la ruta que se relaciona a continuación.
 Transparencia / 4. Planeación / 4.8 Informes de la Oficina de Control Interno. / 4.8.2 Otros
informes y/o consultas a bases de datos o sistemas de información, conforme le aplique. /
2"&amp;"022
https://www.pereira.gov.co/documentos/1002/2022/")</f>
        <v>La oficina Asesora de Control Interno mediante SAIA N.70410 de fecha 03 de diciembre de 2022 informa que realiza dichos seguimientos de manera cuatrimestral; es decir que el próximo informe se realizará con corte al 30 de diciembre de 2022, y la información será publicada en los primeros 10 días hábiles del mes de enero de 2023 como lo indica la norma; en lo que va corrido del 2022 se publicó el informe Mapa de Riesgos y PAAC con corte Septiembre – Diciembre 2021, y enero – abri- mayo- agosto de 2022, de lo cual queda como evidencia la ruta que se relaciona a continuación.
 Transparencia / 4. Planeación / 4.8 Informes de la Oficina de Control Interno. / 4.8.2 Otros
informes y/o consultas a bases de datos o sistemas de información, conforme le aplique. /
2022
https://www.pereira.gov.co/documentos/1002/2022/</v>
      </c>
      <c r="T182" s="11">
        <f ca="1">IFERROR(__xludf.DUMMYFUNCTION("""COMPUTED_VALUE"""),44926)</f>
        <v>44926</v>
      </c>
      <c r="U182" s="10"/>
    </row>
    <row r="183" spans="1:21" ht="409.5" x14ac:dyDescent="0.2">
      <c r="A183" s="10" t="str">
        <f ca="1">IFERROR(__xludf.DUMMYFUNCTION("""COMPUTED_VALUE"""),"Información y Comunicación")</f>
        <v>Información y Comunicación</v>
      </c>
      <c r="B183" s="10" t="str">
        <f ca="1">IFERROR(__xludf.DUMMYFUNCTION("""COMPUTED_VALUE"""),"Transparencia, acceso a la información pública y lucha contra la corrupción 
")</f>
        <v xml:space="preserve">Transparencia, acceso a la información pública y lucha contra la corrupción 
</v>
      </c>
      <c r="C183" s="10" t="str">
        <f ca="1">IFERROR(__xludf.DUMMYFUNCTION("""COMPUTED_VALUE"""),"Realizar seguimiento al Plan Anticorrupción y Atención al Ciudadano (PAAC) 2022 en los tiempos establecidos")</f>
        <v>Realizar seguimiento al Plan Anticorrupción y Atención al Ciudadano (PAAC) 2022 en los tiempos establecidos</v>
      </c>
      <c r="D183" s="10" t="str">
        <f ca="1">IFERROR(__xludf.DUMMYFUNCTION("""COMPUTED_VALUE"""),"No de seguimientos realizados en el año")</f>
        <v>No de seguimientos realizados en el año</v>
      </c>
      <c r="E183" s="10" t="str">
        <f ca="1">IFERROR(__xludf.DUMMYFUNCTION("""COMPUTED_VALUE"""),"No. seguimientos realizados al año / No. de seguimientos programados en el año")</f>
        <v>No. seguimientos realizados al año / No. de seguimientos programados en el año</v>
      </c>
      <c r="F183" s="11">
        <f ca="1">IFERROR(__xludf.DUMMYFUNCTION("""COMPUTED_VALUE"""),44562)</f>
        <v>44562</v>
      </c>
      <c r="G183" s="11">
        <f ca="1">IFERROR(__xludf.DUMMYFUNCTION("""COMPUTED_VALUE"""),44926)</f>
        <v>44926</v>
      </c>
      <c r="H183" s="10" t="str">
        <f ca="1">IFERROR(__xludf.DUMMYFUNCTION("""COMPUTED_VALUE"""),"Oficina asesora de Control Interno")</f>
        <v>Oficina asesora de Control Interno</v>
      </c>
      <c r="I183" s="12">
        <f ca="1">IFERROR(__xludf.DUMMYFUNCTION("""COMPUTED_VALUE"""),0)</f>
        <v>0</v>
      </c>
      <c r="J183" s="10" t="str">
        <f ca="1">IFERROR(__xludf.DUMMYFUNCTION("""COMPUTED_VALUE"""),"La oficina Asesora de Control Interno mediante SAIA N. 18729 de fecha 8 de abril de 2022 informa que dichos seguimientos se hacen de manera cuatrimestral; es decir que el próximo informe se realizará con corte al 30 de abril 2022, y la información será pu"&amp;"blicada en los primero 10 días hábiles del mes de mayo del año 2022 como lo indica la norma.")</f>
        <v>La oficina Asesora de Control Interno mediante SAIA N. 18729 de fecha 8 de abril de 2022 informa que dichos seguimientos se hacen de manera cuatrimestral; es decir que el próximo informe se realizará con corte al 30 de abril 2022, y la información será publicada en los primero 10 días hábiles del mes de mayo del año 2022 como lo indica la norma.</v>
      </c>
      <c r="K183" s="11">
        <f ca="1">IFERROR(__xludf.DUMMYFUNCTION("""COMPUTED_VALUE"""),44670)</f>
        <v>44670</v>
      </c>
      <c r="L183" s="12">
        <f ca="1">IFERROR(__xludf.DUMMYFUNCTION("""COMPUTED_VALUE"""),0.33)</f>
        <v>0.33</v>
      </c>
      <c r="M183" s="10" t="str">
        <f ca="1">IFERROR(__xludf.DUMMYFUNCTION("""COMPUTED_VALUE"""),"La oficina Asesora de Control Interno mediante SAIA N.34395 de fecha 11 de julio de 2022 informa que realiza dichos seguimientos de manera cuatrimestral; es decir que el próximo informe se realizará con corte al 30 de agosto 2022, y la información será pu"&amp;"blicada en los primero 10 días hábiles del mes de septiembre como lo indica la norma; en lo que va corrido del 2022 se publicó el informe Mapa de Riesgos y PAAC con corte Septiembre – Diciembre 2021, y enero – abril 2022, información que se publicó en los"&amp;" primeros 10 días del mes de enero y mayo de 2022 respectivamente; de lo cual queda como evidencia la ruta que se relaciona a continuación. transparencia-informes de gestión y evaluación transparencia-mapas de riesgo. URL: https://www.pereira.gov.co/docum"&amp;"entos/841/2022/")</f>
        <v>La oficina Asesora de Control Interno mediante SAIA N.34395 de fecha 11 de julio de 2022 informa que realiza dichos seguimientos de manera cuatrimestral; es decir que el próximo informe se realizará con corte al 30 de agosto 2022, y la información será publicada en los primero 10 días hábiles del mes de septiembre como lo indica la norma; en lo que va corrido del 2022 se publicó el informe Mapa de Riesgos y PAAC con corte Septiembre – Diciembre 2021, y enero – abril 2022, información que se publicó en los primeros 10 días del mes de enero y mayo de 2022 respectivamente; de lo cual queda como evidencia la ruta que se relaciona a continuación. transparencia-informes de gestión y evaluación transparencia-mapas de riesgo. URL: https://www.pereira.gov.co/documentos/841/2022/</v>
      </c>
      <c r="N183" s="11">
        <f ca="1">IFERROR(__xludf.DUMMYFUNCTION("""COMPUTED_VALUE"""),44742)</f>
        <v>44742</v>
      </c>
      <c r="O183" s="12">
        <f ca="1">IFERROR(__xludf.DUMMYFUNCTION("""COMPUTED_VALUE"""),0.66)</f>
        <v>0.66</v>
      </c>
      <c r="P183" s="10" t="str">
        <f ca="1">IFERROR(__xludf.DUMMYFUNCTION("""COMPUTED_VALUE"""),"La oficina Asesora de Control Interno  mediante saia N. 56164 de fecha 06 de octubre de 2022 informa que realiza  seguimientos de manera cuatrimestral; es decir, que el próximo informe se realizará con corte al 30 de diciembre de 2022, y la información se"&amp;"rá publicada en los primero 10 días hábiles del mes de enero de 2023 como lo indica la norma; en lo que va corrido del 2022 se publicó el informe Mapa de Riesgos y PAAC con corte Septiembre – Diciembre 2021, y enero – abril  -  mayo -agosto de 2022, de lo"&amp;" cual queda como evidencia la ruta que se relaciona a continuación. https://www.pereira.gov.co/documentos/1002/2022/  ")</f>
        <v xml:space="preserve">La oficina Asesora de Control Interno  mediante saia N. 56164 de fecha 06 de octubre de 2022 informa que realiza  seguimientos de manera cuatrimestral; es decir, que el próximo informe se realizará con corte al 30 de diciembre de 2022, y la información será publicada en los primero 10 días hábiles del mes de enero de 2023 como lo indica la norma; en lo que va corrido del 2022 se publicó el informe Mapa de Riesgos y PAAC con corte Septiembre – Diciembre 2021, y enero – abril  -  mayo -agosto de 2022, de lo cual queda como evidencia la ruta que se relaciona a continuación. https://www.pereira.gov.co/documentos/1002/2022/  </v>
      </c>
      <c r="Q183" s="11">
        <f ca="1">IFERROR(__xludf.DUMMYFUNCTION("""COMPUTED_VALUE"""),44834)</f>
        <v>44834</v>
      </c>
      <c r="R183" s="12">
        <f ca="1">IFERROR(__xludf.DUMMYFUNCTION("""COMPUTED_VALUE"""),1)</f>
        <v>1</v>
      </c>
      <c r="S183" s="10" t="str">
        <f ca="1">IFERROR(__xludf.DUMMYFUNCTION("""COMPUTED_VALUE"""),"La oficina Asesora de Control Interno mediante SAIA N.70410 de fecha 03 de diciembre de 2022 informa que realiza dichos seguimientos de manera cuatrimestral; es decir que el próximo informe se realizará con corte al 30 de diciembre de 2022, y la informaci"&amp;"ón será publicada en los primeros 10 días hábiles del mes de enero de 2023 como lo indica la norma; en lo que va corrido del 2022 se publicó el informe Mapa de Riesgos y PAAC con corte Septiembre – Diciembre 2021, y enero – abri- mayo- agosto de 2022, de "&amp;"lo cual queda como evidencia la ruta que se relaciona a continuación.
 Transparencia / 4. Planeación / 4.8 Informes de la Oficina de Control Interno. / 4.8.2 Otros
informes y/o consultas a bases de datos o sistemas de información, conforme le aplique. /
2"&amp;"022
https://www.pereira.gov.co/documentos/1002/2022/")</f>
        <v>La oficina Asesora de Control Interno mediante SAIA N.70410 de fecha 03 de diciembre de 2022 informa que realiza dichos seguimientos de manera cuatrimestral; es decir que el próximo informe se realizará con corte al 30 de diciembre de 2022, y la información será publicada en los primeros 10 días hábiles del mes de enero de 2023 como lo indica la norma; en lo que va corrido del 2022 se publicó el informe Mapa de Riesgos y PAAC con corte Septiembre – Diciembre 2021, y enero – abri- mayo- agosto de 2022, de lo cual queda como evidencia la ruta que se relaciona a continuación.
 Transparencia / 4. Planeación / 4.8 Informes de la Oficina de Control Interno. / 4.8.2 Otros
informes y/o consultas a bases de datos o sistemas de información, conforme le aplique. /
2022
https://www.pereira.gov.co/documentos/1002/2022/</v>
      </c>
      <c r="T183" s="11">
        <f ca="1">IFERROR(__xludf.DUMMYFUNCTION("""COMPUTED_VALUE"""),44926)</f>
        <v>44926</v>
      </c>
      <c r="U183" s="10"/>
    </row>
    <row r="184" spans="1:21" ht="409.5" x14ac:dyDescent="0.2">
      <c r="A184" s="10" t="str">
        <f ca="1">IFERROR(__xludf.DUMMYFUNCTION("""COMPUTED_VALUE"""),"Información y Comunicación")</f>
        <v>Información y Comunicación</v>
      </c>
      <c r="B184" s="10" t="str">
        <f ca="1">IFERROR(__xludf.DUMMYFUNCTION("""COMPUTED_VALUE"""),"Transparencia, acceso a la información pública y lucha contra la corrupción 
")</f>
        <v xml:space="preserve">Transparencia, acceso a la información pública y lucha contra la corrupción 
</v>
      </c>
      <c r="C184" s="10" t="str">
        <f ca="1">IFERROR(__xludf.DUMMYFUNCTION("""COMPUTED_VALUE"""),"Del seguimiento realizado surgieron acciones de mejora al Plan Anticorrupción y de Atención al Ciudadano")</f>
        <v>Del seguimiento realizado surgieron acciones de mejora al Plan Anticorrupción y de Atención al Ciudadano</v>
      </c>
      <c r="D184" s="10" t="str">
        <f ca="1">IFERROR(__xludf.DUMMYFUNCTION("""COMPUTED_VALUE"""),"Acciones de mejora que se tomen cuando se requiera")</f>
        <v>Acciones de mejora que se tomen cuando se requiera</v>
      </c>
      <c r="E184" s="10" t="str">
        <f ca="1">IFERROR(__xludf.DUMMYFUNCTION("""COMPUTED_VALUE"""),"No. de planes de mejora")</f>
        <v>No. de planes de mejora</v>
      </c>
      <c r="F184" s="11">
        <f ca="1">IFERROR(__xludf.DUMMYFUNCTION("""COMPUTED_VALUE"""),44562)</f>
        <v>44562</v>
      </c>
      <c r="G184" s="11">
        <f ca="1">IFERROR(__xludf.DUMMYFUNCTION("""COMPUTED_VALUE"""),44926)</f>
        <v>44926</v>
      </c>
      <c r="H184" s="10" t="str">
        <f ca="1">IFERROR(__xludf.DUMMYFUNCTION("""COMPUTED_VALUE"""),"Oficina asesora de Control Interno")</f>
        <v>Oficina asesora de Control Interno</v>
      </c>
      <c r="I184" s="12">
        <f ca="1">IFERROR(__xludf.DUMMYFUNCTION("""COMPUTED_VALUE"""),0)</f>
        <v>0</v>
      </c>
      <c r="J184" s="10" t="str">
        <f ca="1">IFERROR(__xludf.DUMMYFUNCTION("""COMPUTED_VALUE"""),"La oficina Asesora de Control Interno mediante SAIA N. 18729 de fecha 8 de abril de 2022 informa que dichos seguimientos se hacen de manera cuatrimestral; es decir que el próximo informe se realizará con corte al 30 de abril 2022, y la información será pu"&amp;"blicada en los primero 10 días hábiles del mes de mayo del año 2022 como lo indica la norma.")</f>
        <v>La oficina Asesora de Control Interno mediante SAIA N. 18729 de fecha 8 de abril de 2022 informa que dichos seguimientos se hacen de manera cuatrimestral; es decir que el próximo informe se realizará con corte al 30 de abril 2022, y la información será publicada en los primero 10 días hábiles del mes de mayo del año 2022 como lo indica la norma.</v>
      </c>
      <c r="K184" s="11">
        <f ca="1">IFERROR(__xludf.DUMMYFUNCTION("""COMPUTED_VALUE"""),44670)</f>
        <v>44670</v>
      </c>
      <c r="L184" s="12">
        <f ca="1">IFERROR(__xludf.DUMMYFUNCTION("""COMPUTED_VALUE"""),0.33)</f>
        <v>0.33</v>
      </c>
      <c r="M184" s="10" t="str">
        <f ca="1">IFERROR(__xludf.DUMMYFUNCTION("""COMPUTED_VALUE"""),"La oficina Asesora de Control Interno mediante SAIA N.34395 de fecha 11 de julio de 2022 informa que realiza dichos seguimientos de manera cuatrimestral; es decir que el próximo informe se realizará con corte al 30 de agosto 2022, y la información será pu"&amp;"blicada en los primero 10 días hábiles del mes de septiembre como lo indica la norma; en lo que va corrido del 2022 se publicó el informe Mapa de Riesgos y PAAC con corte Septiembre – Diciembre 2021, y enero – abril 2022, información que se publicó en los"&amp;" primeros 10 días del mes de enero y mayo de 2022 respectivamente; de lo cual queda como evidencia la ruta que se relaciona a continuación. transparencia-informes de gestión y evaluación transparencia-mapas de riesgo. URL: https://www.pereira.gov.co/docum"&amp;"entos/841/2022/")</f>
        <v>La oficina Asesora de Control Interno mediante SAIA N.34395 de fecha 11 de julio de 2022 informa que realiza dichos seguimientos de manera cuatrimestral; es decir que el próximo informe se realizará con corte al 30 de agosto 2022, y la información será publicada en los primero 10 días hábiles del mes de septiembre como lo indica la norma; en lo que va corrido del 2022 se publicó el informe Mapa de Riesgos y PAAC con corte Septiembre – Diciembre 2021, y enero – abril 2022, información que se publicó en los primeros 10 días del mes de enero y mayo de 2022 respectivamente; de lo cual queda como evidencia la ruta que se relaciona a continuación. transparencia-informes de gestión y evaluación transparencia-mapas de riesgo. URL: https://www.pereira.gov.co/documentos/841/2022/</v>
      </c>
      <c r="N184" s="11">
        <f ca="1">IFERROR(__xludf.DUMMYFUNCTION("""COMPUTED_VALUE"""),44742)</f>
        <v>44742</v>
      </c>
      <c r="O184" s="12">
        <f ca="1">IFERROR(__xludf.DUMMYFUNCTION("""COMPUTED_VALUE"""),0.66)</f>
        <v>0.66</v>
      </c>
      <c r="P184" s="10" t="str">
        <f ca="1">IFERROR(__xludf.DUMMYFUNCTION("""COMPUTED_VALUE"""),"La oficina Asesora de Control Interno mediante saia 56164 de fecha 06 de octubre de 2022 informa que realiza  seguimientos de manera cuatrimestral; es decir, que el próximo informe se realizará con corte al 30 de diciembre de 2022, y la información será p"&amp;"ublicada en los primero 10 días hábiles del mes de enero de 2023 como lo indica la norma; en lo que va corrido del 2022 se publicó el informe Mapa de Riesgos y PAAC con corte Septiembre – Diciembre 2021, y enero – abril  -  mayo -agosto de 2022, de lo cua"&amp;"l queda como evidencia la ruta que se relaciona a continuación. https://www.pereira.gov.co/documentos/1002/2022/  ")</f>
        <v xml:space="preserve">La oficina Asesora de Control Interno mediante saia 56164 de fecha 06 de octubre de 2022 informa que realiza  seguimientos de manera cuatrimestral; es decir, que el próximo informe se realizará con corte al 30 de diciembre de 2022, y la información será publicada en los primero 10 días hábiles del mes de enero de 2023 como lo indica la norma; en lo que va corrido del 2022 se publicó el informe Mapa de Riesgos y PAAC con corte Septiembre – Diciembre 2021, y enero – abril  -  mayo -agosto de 2022, de lo cual queda como evidencia la ruta que se relaciona a continuación. https://www.pereira.gov.co/documentos/1002/2022/  </v>
      </c>
      <c r="Q184" s="11">
        <f ca="1">IFERROR(__xludf.DUMMYFUNCTION("""COMPUTED_VALUE"""),44834)</f>
        <v>44834</v>
      </c>
      <c r="R184" s="12">
        <f ca="1">IFERROR(__xludf.DUMMYFUNCTION("""COMPUTED_VALUE"""),1)</f>
        <v>1</v>
      </c>
      <c r="S184" s="10" t="str">
        <f ca="1">IFERROR(__xludf.DUMMYFUNCTION("""COMPUTED_VALUE"""),"La oficina Asesora de Control Interno mediante SAIA N.70410 de fecha 03 de diciembre de 2022 informa que realiza dichos seguimientos de manera cuatrimestral; es decir que el próximo informe se realizará con corte al 30 de diciembre de 2022, y la informaci"&amp;"ón será publicada en los primeros 10 días hábiles del mes de enero de 2023 como lo indica la norma; en lo que va corrido del 2022 se publicó el informe Mapa de Riesgos y PAAC con corte Septiembre – Diciembre 2021, y enero – abri- mayo- agosto de 2022, de "&amp;"lo cual queda como evidencia la ruta que se relaciona a continuación.
 Transparencia / 4. Planeación / 4.8 Informes de la Oficina de Control Interno. / 4.8.2 Otros
informes y/o consultas a bases de datos o sistemas de información, conforme le aplique. /"&amp;"
2022
https://www.pereira.gov.co/documentos/1002/2022/")</f>
        <v>La oficina Asesora de Control Interno mediante SAIA N.70410 de fecha 03 de diciembre de 2022 informa que realiza dichos seguimientos de manera cuatrimestral; es decir que el próximo informe se realizará con corte al 30 de diciembre de 2022, y la información será publicada en los primeros 10 días hábiles del mes de enero de 2023 como lo indica la norma; en lo que va corrido del 2022 se publicó el informe Mapa de Riesgos y PAAC con corte Septiembre – Diciembre 2021, y enero – abri- mayo- agosto de 2022, de lo cual queda como evidencia la ruta que se relaciona a continuación.
 Transparencia / 4. Planeación / 4.8 Informes de la Oficina de Control Interno. / 4.8.2 Otros
informes y/o consultas a bases de datos o sistemas de información, conforme le aplique. /
2022
https://www.pereira.gov.co/documentos/1002/2022/</v>
      </c>
      <c r="T184" s="11">
        <f ca="1">IFERROR(__xludf.DUMMYFUNCTION("""COMPUTED_VALUE"""),44926)</f>
        <v>44926</v>
      </c>
      <c r="U184" s="10"/>
    </row>
    <row r="185" spans="1:21" ht="409.5" x14ac:dyDescent="0.2">
      <c r="A185" s="10" t="str">
        <f ca="1">IFERROR(__xludf.DUMMYFUNCTION("""COMPUTED_VALUE"""),"Información y Comunicación")</f>
        <v>Información y Comunicación</v>
      </c>
      <c r="B185" s="10" t="str">
        <f ca="1">IFERROR(__xludf.DUMMYFUNCTION("""COMPUTED_VALUE"""),"Transparencia, acceso a la información pública y lucha contra la corrupción 
")</f>
        <v xml:space="preserve">Transparencia, acceso a la información pública y lucha contra la corrupción 
</v>
      </c>
      <c r="C185" s="10" t="str">
        <f ca="1">IFERROR(__xludf.DUMMYFUNCTION("""COMPUTED_VALUE"""),"Medir la capacidad de la entidad pública para elaborar, divulgar y desarrollar acciones relacionadas con el plan anticorrupción.")</f>
        <v>Medir la capacidad de la entidad pública para elaborar, divulgar y desarrollar acciones relacionadas con el plan anticorrupción.</v>
      </c>
      <c r="D185" s="10" t="str">
        <f ca="1">IFERROR(__xludf.DUMMYFUNCTION("""COMPUTED_VALUE"""),"Acciones de participación ciudadana como componente del Plan Anticorrupción y de Atención al Ciudadano de la entidad.")</f>
        <v>Acciones de participación ciudadana como componente del Plan Anticorrupción y de Atención al Ciudadano de la entidad.</v>
      </c>
      <c r="E185" s="10" t="str">
        <f ca="1">IFERROR(__xludf.DUMMYFUNCTION("""COMPUTED_VALUE"""),"No. acciones en espacios de participación ciudadana ejecutadas / No. de acciones en espacios de participación ciudadana planeadas")</f>
        <v>No. acciones en espacios de participación ciudadana ejecutadas / No. de acciones en espacios de participación ciudadana planeadas</v>
      </c>
      <c r="F185" s="11">
        <f ca="1">IFERROR(__xludf.DUMMYFUNCTION("""COMPUTED_VALUE"""),44562)</f>
        <v>44562</v>
      </c>
      <c r="G185" s="11">
        <f ca="1">IFERROR(__xludf.DUMMYFUNCTION("""COMPUTED_VALUE"""),44926)</f>
        <v>44926</v>
      </c>
      <c r="H185" s="10" t="str">
        <f ca="1">IFERROR(__xludf.DUMMYFUNCTION("""COMPUTED_VALUE"""),"Secretaría Privada")</f>
        <v>Secretaría Privada</v>
      </c>
      <c r="I185" s="12">
        <f ca="1">IFERROR(__xludf.DUMMYFUNCTION("""COMPUTED_VALUE"""),0.45)</f>
        <v>0.45</v>
      </c>
      <c r="J185" s="10" t="str">
        <f ca="1">IFERROR(__xludf.DUMMYFUNCTION("""COMPUTED_VALUE"""),"Los seguimientos del indicador de Espacios de Participación Ciudadana se hacen de manera trimestral; es decir que el próximo informe se realizará con corte 30 de junio del año 2022. . Durante el primer trimestre se realizaron un total de 9 espacios de par"&amp;"ticipación ciudadana de 20 que se tenen planeados para la vigencia del 2022, lo que corresponde al 45% de cumplimiento. Las evidncias se pueden consultar en el siguiente link:https://drive.google.com/drive/folders/1XJ2kRlR9aQHPuTJxKQSTz3VEKuctB3tG?usp=sha"&amp;"ring")</f>
        <v>Los seguimientos del indicador de Espacios de Participación Ciudadana se hacen de manera trimestral; es decir que el próximo informe se realizará con corte 30 de junio del año 2022. . Durante el primer trimestre se realizaron un total de 9 espacios de participación ciudadana de 20 que se tenen planeados para la vigencia del 2022, lo que corresponde al 45% de cumplimiento. Las evidncias se pueden consultar en el siguiente link:https://drive.google.com/drive/folders/1XJ2kRlR9aQHPuTJxKQSTz3VEKuctB3tG?usp=sharing</v>
      </c>
      <c r="K185" s="11">
        <f ca="1">IFERROR(__xludf.DUMMYFUNCTION("""COMPUTED_VALUE"""),44670)</f>
        <v>44670</v>
      </c>
      <c r="L185" s="12">
        <f ca="1">IFERROR(__xludf.DUMMYFUNCTION("""COMPUTED_VALUE"""),0.5)</f>
        <v>0.5</v>
      </c>
      <c r="M185" s="10" t="str">
        <f ca="1">IFERROR(__xludf.DUMMYFUNCTION("""COMPUTED_VALUE"""),"Los seguimientos del indicador de Espacios de Participación Ciudadana se hacen de manera trimestral; es decir que el próximo informe se realizará con corte 30 de septiembre del año 2022. Durante el segundo trimestre se realizaron un total de 16 espacios d"&amp;"e participación ciudadana de 20 que se tienen planeados para la vigencia del 2022, lo que corresponde al 50 % de cumplimiento. Las evidencias se pueden consultar en el siguiente link:https://drive.google.com/drive/folders/1XJ2kRlR9aQHPuTJxKQSTz3VEKuctB3tG"&amp;"?usp=sharing")</f>
        <v>Los seguimientos del indicador de Espacios de Participación Ciudadana se hacen de manera trimestral; es decir que el próximo informe se realizará con corte 30 de septiembre del año 2022. Durante el segundo trimestre se realizaron un total de 16 espacios de participación ciudadana de 20 que se tienen planeados para la vigencia del 2022, lo que corresponde al 50 % de cumplimiento. Las evidencias se pueden consultar en el siguiente link:https://drive.google.com/drive/folders/1XJ2kRlR9aQHPuTJxKQSTz3VEKuctB3tG?usp=sharing</v>
      </c>
      <c r="N185" s="11">
        <f ca="1">IFERROR(__xludf.DUMMYFUNCTION("""COMPUTED_VALUE"""),44742)</f>
        <v>44742</v>
      </c>
      <c r="O185" s="12">
        <f ca="1">IFERROR(__xludf.DUMMYFUNCTION("""COMPUTED_VALUE"""),0.75)</f>
        <v>0.75</v>
      </c>
      <c r="P185" s="10" t="str">
        <f ca="1">IFERROR(__xludf.DUMMYFUNCTION("""COMPUTED_VALUE"""),"Los seguimientos del indicador de Espacios de Participación Ciudadana se hacen de manera trimestral; es decir que el próximo informe se realizará con corte 30 de diciembre del año 2022. Durante el tercer trimestre se realizaron un total de 18 espacios de "&amp;"participación ciudadana de 20 que se tienen planeados para la vigencia del 2022, lo que corresponde al 75 % de cumplimiento. Las evidencias se pueden consultar en el siguiente link:https://drive.google.com/drive/folders/1XJ2kRlR9aQHPuTJxKQSTz3VEKuctB3tG?u"&amp;"sp=sharing")</f>
        <v>Los seguimientos del indicador de Espacios de Participación Ciudadana se hacen de manera trimestral; es decir que el próximo informe se realizará con corte 30 de diciembre del año 2022. Durante el tercer trimestre se realizaron un total de 18 espacios de participación ciudadana de 20 que se tienen planeados para la vigencia del 2022, lo que corresponde al 75 % de cumplimiento. Las evidencias se pueden consultar en el siguiente link:https://drive.google.com/drive/folders/1XJ2kRlR9aQHPuTJxKQSTz3VEKuctB3tG?usp=sharing</v>
      </c>
      <c r="Q185" s="11">
        <f ca="1">IFERROR(__xludf.DUMMYFUNCTION("""COMPUTED_VALUE"""),44834)</f>
        <v>44834</v>
      </c>
      <c r="R185" s="12">
        <f ca="1">IFERROR(__xludf.DUMMYFUNCTION("""COMPUTED_VALUE"""),1)</f>
        <v>1</v>
      </c>
      <c r="S185" s="10" t="str">
        <f ca="1">IFERROR(__xludf.DUMMYFUNCTION("""COMPUTED_VALUE"""),"La Secretaría Privada realizó un total de 20 espacios de participación ciudadana durante la vigencia del año 2022. Dando así un cumplimiento del  100%.  Se pueden evidenciar en el siguiente link: https://drive.google.com/drive/folders/1XJ2kRlR9aQHPuTJxKQS"&amp;"Tz3VEKuctB3tG")</f>
        <v>La Secretaría Privada realizó un total de 20 espacios de participación ciudadana durante la vigencia del año 2022. Dando así un cumplimiento del  100%.  Se pueden evidenciar en el siguiente link: https://drive.google.com/drive/folders/1XJ2kRlR9aQHPuTJxKQSTz3VEKuctB3tG</v>
      </c>
      <c r="T185" s="11">
        <f ca="1">IFERROR(__xludf.DUMMYFUNCTION("""COMPUTED_VALUE"""),44926)</f>
        <v>44926</v>
      </c>
      <c r="U185" s="10"/>
    </row>
    <row r="186" spans="1:21" ht="409.5" x14ac:dyDescent="0.2">
      <c r="A186" s="10" t="str">
        <f ca="1">IFERROR(__xludf.DUMMYFUNCTION("""COMPUTED_VALUE"""),"Información y Comunicación")</f>
        <v>Información y Comunicación</v>
      </c>
      <c r="B186" s="10" t="str">
        <f ca="1">IFERROR(__xludf.DUMMYFUNCTION("""COMPUTED_VALUE"""),"Transparencia, acceso a la información pública y lucha contra la corrupción 
")</f>
        <v xml:space="preserve">Transparencia, acceso a la información pública y lucha contra la corrupción 
</v>
      </c>
      <c r="C186" s="10" t="str">
        <f ca="1">IFERROR(__xludf.DUMMYFUNCTION("""COMPUTED_VALUE"""),"Medir la capacidad de la entidad pública para realizar acciones orientadas a promover la transparecia, estimular la integridad y combatir la corrupción en sus servidores.")</f>
        <v>Medir la capacidad de la entidad pública para realizar acciones orientadas a promover la transparecia, estimular la integridad y combatir la corrupción en sus servidores.</v>
      </c>
      <c r="D186" s="10" t="str">
        <f ca="1">IFERROR(__xludf.DUMMYFUNCTION("""COMPUTED_VALUE"""),"Evaluar información proveniente de quejas y denuncias de los servidores de la entidad para la identificación de riesgos de fraude y corrupción.")</f>
        <v>Evaluar información proveniente de quejas y denuncias de los servidores de la entidad para la identificación de riesgos de fraude y corrupción.</v>
      </c>
      <c r="E186" s="10" t="str">
        <f ca="1">IFERROR(__xludf.DUMMYFUNCTION("""COMPUTED_VALUE"""),"No. de investigaciones por quejas y denuncias")</f>
        <v>No. de investigaciones por quejas y denuncias</v>
      </c>
      <c r="F186" s="11">
        <f ca="1">IFERROR(__xludf.DUMMYFUNCTION("""COMPUTED_VALUE"""),44562)</f>
        <v>44562</v>
      </c>
      <c r="G186" s="11">
        <f ca="1">IFERROR(__xludf.DUMMYFUNCTION("""COMPUTED_VALUE"""),44926)</f>
        <v>44926</v>
      </c>
      <c r="H186" s="10" t="str">
        <f ca="1">IFERROR(__xludf.DUMMYFUNCTION("""COMPUTED_VALUE"""),"Directora Control Interno Disciplinario y Secretaría Jurídica (Asuntos Jurídicos)")</f>
        <v>Directora Control Interno Disciplinario y Secretaría Jurídica (Asuntos Jurídicos)</v>
      </c>
      <c r="I186" s="12">
        <f ca="1">IFERROR(__xludf.DUMMYFUNCTION("""COMPUTED_VALUE"""),0.25)</f>
        <v>0.25</v>
      </c>
      <c r="J186" s="10" t="str">
        <f ca="1">IFERROR(__xludf.DUMMYFUNCTION("""COMPUTED_VALUE"""),"La Dirección de Control Interno Disciplinario mediante oficio N. 18620 de fecha 8 de abril de 2022 informó: que en el primer trimestre no se presentaron denuncias por actos de corrupción, pero si se recibieron procesos que se adelantaban en la Personeria "&amp;"Municipal y por presuntos hechos de corrupción en materia de contratacion y como se relacionan, asi: Radicado Presunto Hecho de Corrupción 1998-2022 Presuntas irregularidades en licitación pública No. 2013-2017, 2009-2022 Hallazgo Contraloría municipal au"&amp;"ditoria express, D19-0029-1098-038, D19-0034-1637-053 y API D19-.020, 2015-2022 Favorecimiento a vendedores ambulantes en detrimento de otros, 2024-2022 Irregularidades en el proceso de selección abreviada de menor cuantía IEAJG-SAM-02-2020 (adecuación y "&amp;"mejoramiento de la I.E. Alfonso Jaramillo Gutierrez), 2025-2022 Hallazgo Contraloría, 2026-2022 Queja interpuesta por E-2020-443702 por proceso de licitación dentro de la I.E Hector Angel Arcila, 2032-2022 Hallazgo Contraloría Municipal - Contrato 2897-20"&amp;"20, 2034-2022 Hallazgo Contraloría, Municipal - Auditoria financiera y de gestión al sector central, 2041-2022 Hallazgo Contraloría Municipal - Contrato smdsp-171-2020 Los procesos antes relacionados se encuentran surtiendo la etapa de Indagación prelimin"&amp;"ar. La Secretaría Juridica mediante SAIA N. 18709 del 8 de abril de 2022 manifestó que en el primer trimestre del año 2022 no se presentaron denuncias por actos de corrupción, pero que si se están adelantando casos por tales delitos, los cuales iniciaron "&amp;"en períodos anteriores, y a los que se ha comparecido en calidad de Víctima (se relacionan): DELITO RADICADO (NUNC - Número único noticia criminal) PECULADO POR APROPIACIÓN Y ASOCIACIÓN PARA LA
 COMISIÓN DE UN DELITO CONTRA LA ADMINISTRACIÓN PUBLICA 66-00"&amp;"1-60-00000-2017- 00106 PECULADO POR APROPIACION Y OTROS 66-001-60-00036-2017- 00106 CELEBRACIÓN DE CONTRATOS SIN CUMPLIMIENTO DE REQUISITOS FORMALES  66-001-60-00058-2016- 00527 CELEBRACIÓN INDEBIDA DE CONTRATOS (VIOLACION AL REGIMEN DE INHABILIDADES E IN"&amp;"COMPATIBILIDADES) 66-001-60-08785-2019- 00004 PECULADO POR APROPIACIÓN 66-001-60-00036-2016-02110  FALSEDAD IDEOLÓGICA EN DOCUMENTO PÚBLICO, PECULADO 66-001-60-000-36-2014-03792 CONTRATO SIN CUMPLIMIENTO DE REQUISITOS FORMALES 66-001-60-000-36-2016-05618 "&amp;"FRAUDE PROCESAL 66-001-60-000-36-2017-02643 PECULADO POR APROPIACION CONTRATO SIN CUMPLIMIENTO DE REQUISITOS FORMALES Y OTROS 66-001-60-000-58-2016-00276 INTERES INDEBIDO EN LA CELEBRACION DE CONTRATOS 66-001-60-000-58-2016-00319 PECULADO 66-001-61-064-84"&amp;"-2018-00873 CELEBRACION INDEBIDA DE CONTRATOS 11-001-60-001-01-2020-00061 PREVARICATO POR ACCION 66-001-60-000-36-2020-50974
 PREVARICATO POR ACCION Y OTROS 66-001-60-000-26-2021-54189.")</f>
        <v>La Dirección de Control Interno Disciplinario mediante oficio N. 18620 de fecha 8 de abril de 2022 informó: que en el primer trimestre no se presentaron denuncias por actos de corrupción, pero si se recibieron procesos que se adelantaban en la Personeria Municipal y por presuntos hechos de corrupción en materia de contratacion y como se relacionan, asi: Radicado Presunto Hecho de Corrupción 1998-2022 Presuntas irregularidades en licitación pública No. 2013-2017, 2009-2022 Hallazgo Contraloría municipal auditoria express, D19-0029-1098-038, D19-0034-1637-053 y API D19-.020, 2015-2022 Favorecimiento a vendedores ambulantes en detrimento de otros, 2024-2022 Irregularidades en el proceso de selección abreviada de menor cuantía IEAJG-SAM-02-2020 (adecuación y mejoramiento de la I.E. Alfonso Jaramillo Gutierrez), 2025-2022 Hallazgo Contraloría, 2026-2022 Queja interpuesta por E-2020-443702 por proceso de licitación dentro de la I.E Hector Angel Arcila, 2032-2022 Hallazgo Contraloría Municipal - Contrato 2897-2020, 2034-2022 Hallazgo Contraloría, Municipal - Auditoria financiera y de gestión al sector central, 2041-2022 Hallazgo Contraloría Municipal - Contrato smdsp-171-2020 Los procesos antes relacionados se encuentran surtiendo la etapa de Indagación preliminar. La Secretaría Juridica mediante SAIA N. 18709 del 8 de abril de 2022 manifestó que en el primer trimestre del año 2022 no se presentaron denuncias por actos de corrupción, pero que si se están adelantando casos por tales delitos, los cuales iniciaron en períodos anteriores, y a los que se ha comparecido en calidad de Víctima (se relacionan): DELITO RADICADO (NUNC - Número único noticia criminal) PECULADO POR APROPIACIÓN Y ASOCIACIÓN PARA LA
 COMISIÓN DE UN DELITO CONTRA LA ADMINISTRACIÓN PUBLICA 66-001-60-00000-2017- 00106 PECULADO POR APROPIACION Y OTROS 66-001-60-00036-2017- 00106 CELEBRACIÓN DE CONTRATOS SIN CUMPLIMIENTO DE REQUISITOS FORMALES  66-001-60-00058-2016- 00527 CELEBRACIÓN INDEBIDA DE CONTRATOS (VIOLACION AL REGIMEN DE INHABILIDADES E INCOMPATIBILIDADES) 66-001-60-08785-2019- 00004 PECULADO POR APROPIACIÓN 66-001-60-00036-2016-02110  FALSEDAD IDEOLÓGICA EN DOCUMENTO PÚBLICO, PECULADO 66-001-60-000-36-2014-03792 CONTRATO SIN CUMPLIMIENTO DE REQUISITOS FORMALES 66-001-60-000-36-2016-05618 FRAUDE PROCESAL 66-001-60-000-36-2017-02643 PECULADO POR APROPIACION CONTRATO SIN CUMPLIMIENTO DE REQUISITOS FORMALES Y OTROS 66-001-60-000-58-2016-00276 INTERES INDEBIDO EN LA CELEBRACION DE CONTRATOS 66-001-60-000-58-2016-00319 PECULADO 66-001-61-064-84-2018-00873 CELEBRACION INDEBIDA DE CONTRATOS 11-001-60-001-01-2020-00061 PREVARICATO POR ACCION 66-001-60-000-36-2020-50974
 PREVARICATO POR ACCION Y OTROS 66-001-60-000-26-2021-54189.</v>
      </c>
      <c r="K186" s="11">
        <f ca="1">IFERROR(__xludf.DUMMYFUNCTION("""COMPUTED_VALUE"""),44670)</f>
        <v>44670</v>
      </c>
      <c r="L186" s="12">
        <f ca="1">IFERROR(__xludf.DUMMYFUNCTION("""COMPUTED_VALUE"""),0.5)</f>
        <v>0.5</v>
      </c>
      <c r="M186" s="10" t="str">
        <f ca="1">IFERROR(__xludf.DUMMYFUNCTION("""COMPUTED_VALUE"""),"La Dirección de Control Interno Disciplinario mediante oficio N. 34884 de fecha 1 de julio de 2022 informó: que en el periodo de Mayo a Junio de 2022, NO Recibió procesos o quejas por presuntos hechos de corrupcion actualmente adelanta los que se reportar"&amp;"on el 1r. Trimestre-2022 y Secretaría Jurídica.")</f>
        <v>La Dirección de Control Interno Disciplinario mediante oficio N. 34884 de fecha 1 de julio de 2022 informó: que en el periodo de Mayo a Junio de 2022, NO Recibió procesos o quejas por presuntos hechos de corrupcion actualmente adelanta los que se reportaron el 1r. Trimestre-2022 y Secretaría Jurídica.</v>
      </c>
      <c r="N186" s="11">
        <f ca="1">IFERROR(__xludf.DUMMYFUNCTION("""COMPUTED_VALUE"""),44742)</f>
        <v>44742</v>
      </c>
      <c r="O186" s="12">
        <f ca="1">IFERROR(__xludf.DUMMYFUNCTION("""COMPUTED_VALUE"""),0.75)</f>
        <v>0.75</v>
      </c>
      <c r="P186" s="10" t="str">
        <f ca="1">IFERROR(__xludf.DUMMYFUNCTION("""COMPUTED_VALUE"""),"La Dirección de Control Interno Disciplinario informa que, en el tercer trimestre del año 2022, se dio la apertura de dos (02) procesos por actos de relacionados con presuntos hechos de corrupción en materia de contratación; estos son: 2081-2022  Ejecució"&amp;"n de un contrato sin cumplir con el objeto del mismo; 2083-2022  Se inicia proceso a raíz de una queja por la presunta celebración de contrato sin el cumplimiento de los requisitos. De otra parte, durante este mismo lapso, se recibieron cuatro (04) quejas"&amp;" por hechos presuntamente relacionados con corrupción y que se relacionan a continuación: Rad. 23845 Irregularidades en contratación en la I.E. Matecaña. Rad. 23851 Irregularidades en contratación del alumbrado público. Rad. 23864 Irregularidades en proce"&amp;"so licitatorio No. 134-2019. Rad. 24698 Remitida por la Contraloría General de la República por hallazgo en auditoría SGP-2021. 
La Secretaría Juridica  manifiesta que la abogada Marta Lucía Beltran, durante el tercer trimestre del 2022 se continúan 
adel"&amp;"antando casos por tales delitos, los cuales iniciaron en periodos anteriores, y a los que se ha comparecido en calidad de víctima y que se relacionan a continuación: PECULADO POR APROPIACIÓN Y
ASOCIACIÓN PARA COMISIÓN DE
UN DELITO CONTRA LA
ADMINISTRACIÓN"&amp;" PUBLICA
6600160000002017 00106
PECULADO POR APROPIACION Y
OTROS
6600160000362017 00106
CELEBRACIÓN DE CONTRATOS
SIN CUMPLIMIENTO DE
REQUISITOS FORMALES
6600160000582016 00527 CELEBRACIÓN INDEBIDA DE
CONTRATOS
660016008785201900004
PECULADO POR APROPIACIÓ"&amp;"N 6600016000036201602110
PREVARICATO POR ACCION,
FALSEDAD IDEOLOGICA EN
DOCUMENTO PUBLICO Y OTROS
660016000036201403792
CONTRATO SIN CUMPLIMIENTO
DE REQUISITOS FORMALES
660016000036201605618
PECULADO POR APROPIACION
CONTRATO SIN CUMPLIMIENTO
DE REQUISITOS"&amp;" FORMALES Y
OTROS
660016000058201600276
CONTRATO SIN CUMPLIMIENTO
DE LOS REQUISITOS LEGALES,
PECULADO POR APROPIACION,
FALSEDAD IDEOLOGICA EN
DOCUMENTO PUBLICO
110016000101202000061
PECULADO POR APROPIACION 660016106484201800873
PREVARICATO POR ACCION
AGR"&amp;"AVADO Y OTROS
66001600003620215418900
PREVARICATO 66001600003620205097400. PECULADO POR APROPIACION Y CONTRATO SIN CUMPLIMIENTO DE REQUISITOS FORMALES 660016000058201600319 PECULADO POR APROPIACION Y OTROS 66001600003620215274 PECULADO POR APROPIACION 600"&amp;"1600000020170007700. 
LA DIRECCION ADMINISTRATIVA DE TALENTO HUMANO. Informa que para el primer y segundo  trimestre del 2022, no se presentaron denuncias por actos de corrupción, es de aclarar que en la vigencia 2021, se denunciaron varios delitos ante l"&amp;"a FISCALÍA GENERAL DE LA NACIÓN, LA CONTRALORÍA MUNICIPAL DE PEREIRA Y LA PROCURADURÍA, por presunto detrimento patrimonial con cargo a un Empleado que se encontraba nombrado en el cargo de TÉCNICO ADMINISTRATIVO en la Dirección Administrativa  de Talento"&amp;" Humano y quién tenía bajo su responsabilidad la liquidación de las cesantías administradas por el FONDO NACIONAL DEL AHORRO. 
Denunciar a este Empleado, permitió hallar otros delitos presuntamente cometidos por otros servidores  de la administración muni"&amp;"cipal, trece (13) en total, donde se identificó la participación de otros Empleados Públicos, Trabajadores Oficiales y 1 Pensionado. 
Desde la fecha de la denuncia a la actualidad, los tres entes de control han solicitado a través de oficios todo tipo de "&amp;"información del proceso.
• LA CONTRALORÍA MUNICIPAL DE PEREIRA: además de la Solicitud de la información ha expedido:
El informe final sobre la auditoría al proceso de cesantías llegó el día 14 de marzo de 2022, donde auditaron las vigencias 2016 a 2021:
"&amp;"A través del cual quedaron en firme 3 hallazgos: 
• Dos con connotación administrativa y disciplinaria 
• Uno con connotación fiscal, disciplinaria y penal
Donde resultó una afectación fiscal por la suma de $1.738.188.058
Por parte de la Alcaldía de Perei"&amp;"ra el 22 DE MARZO DE 2022 se suscribió el Plan de mejoramiento El cual tendrá un tiempo de ejecución hasta el 31 de diciembre de 2022.
Posteriormente 19 DE MAYO DE 2022 Se expide el auto N° 034 Por el cual se da apertura al proceso de Responsabilidad Fisc"&amp;"al Ordinario”
PROCURADURIA: El proceso disciplinario se adelantaba por Control Interno Disciplinario de la Alcaldía de Pereira, y posteriormente la Procuraduría avoco el conocimiento preferente del proceso y continua con la recopilación de información. El"&amp;" proceso actualmente se encuentra en la personería Municipal.
FISCALÍA GENERAL DE LA NACIÓN:
La Fiscalía ha realizado audiencia de formulación de imputación y medida de aseguramiento sobre varias de las personas implicadas en el proceso. Estas audiencias "&amp;"se han adelantado por el JUZGADO 1 PENAL MPAL DE GARANTIAS.  
A la fecha se tiene pendiente el escrito de acusación.
En cuanto a la actividad,  realizada sobre  la socialización del código de integridad en lo corrido del año 2022. 
LA DIRECCION ADMINISTRA"&amp;"TIVA DE TALENTO HUMANO
Mediante estrategias de comunicación como la página web, en la cual se encuentra publicado el código de integridad adoptado con los cinco (5) valores, el aplicativo SAIA como estrategia publicitaria.
Enlaces de evidencia curso Funci"&amp;"ón Pública.
http://www.funcionpublica.gov.co/fdci/consultaCiudadana/index?tipoPersonaId=26&amp;razonSocial=&amp;numeroDocumento=&amp;entidad=ALCALDIA+DE+PEREIRA&amp;fechaFinalizacionDesde=&amp;fechaFinalizacionHasta=&amp;find=Buscar#resultadosBusqueda
Enlaces de evidencia Código"&amp;" de Integridad.
http://pereira.gov.co/NuestraAlcaldia/Documents/1%20C%C3%93DIGO%20DE%20INTEGRIDAD%20VIGENCIA%202020%202023%20GOBIERNO%20DE%20LA%20CIUDAD%20_Presentacion_Power_Point_V2%20ABRIL%2016%202020%20PDF.pdf
En las hojas de vida de los funcionarios,"&amp;" reposan las certificaciones de realización del curso de integridad.
En la Alcaldía Municipal de Pereira se encuentran capacitadas 2.655 personas entre funcionarios y contratistas.
El plan de acción, autodiagnóstico y cronograma de actividades a la fecha "&amp;"tiene un alcance del 79.8%
Dentro del programa de Inducción y Reinducción, se  promociona el Código de Integridad, la transparencia y el lema del código de integridad.
http://www.funcionpublica.gov.co/eva/es/consulta-certificados/1/1038/#formularioresulta"&amp;"do
")</f>
        <v xml:space="preserve">La Dirección de Control Interno Disciplinario informa que, en el tercer trimestre del año 2022, se dio la apertura de dos (02) procesos por actos de relacionados con presuntos hechos de corrupción en materia de contratación; estos son: 2081-2022  Ejecución de un contrato sin cumplir con el objeto del mismo; 2083-2022  Se inicia proceso a raíz de una queja por la presunta celebración de contrato sin el cumplimiento de los requisitos. De otra parte, durante este mismo lapso, se recibieron cuatro (04) quejas por hechos presuntamente relacionados con corrupción y que se relacionan a continuación: Rad. 23845 Irregularidades en contratación en la I.E. Matecaña. Rad. 23851 Irregularidades en contratación del alumbrado público. Rad. 23864 Irregularidades en proceso licitatorio No. 134-2019. Rad. 24698 Remitida por la Contraloría General de la República por hallazgo en auditoría SGP-2021. 
La Secretaría Juridica  manifiesta que la abogada Marta Lucía Beltran, durante el tercer trimestre del 2022 se continúan 
adelantando casos por tales delitos, los cuales iniciaron en periodos anteriores, y a los que se ha comparecido en calidad de víctima y que se relacionan a continuación: PECULADO POR APROPIACIÓN Y
ASOCIACIÓN PARA COMISIÓN DE
UN DELITO CONTRA LA
ADMINISTRACIÓN PUBLICA
6600160000002017 00106
PECULADO POR APROPIACION Y
OTROS
6600160000362017 00106
CELEBRACIÓN DE CONTRATOS
SIN CUMPLIMIENTO DE
REQUISITOS FORMALES
6600160000582016 00527 CELEBRACIÓN INDEBIDA DE
CONTRATOS
660016008785201900004
PECULADO POR APROPIACIÓN 6600016000036201602110
PREVARICATO POR ACCION,
FALSEDAD IDEOLOGICA EN
DOCUMENTO PUBLICO Y OTROS
660016000036201403792
CONTRATO SIN CUMPLIMIENTO
DE REQUISITOS FORMALES
660016000036201605618
PECULADO POR APROPIACION
CONTRATO SIN CUMPLIMIENTO
DE REQUISITOS FORMALES Y
OTROS
660016000058201600276
CONTRATO SIN CUMPLIMIENTO
DE LOS REQUISITOS LEGALES,
PECULADO POR APROPIACION,
FALSEDAD IDEOLOGICA EN
DOCUMENTO PUBLICO
110016000101202000061
PECULADO POR APROPIACION 660016106484201800873
PREVARICATO POR ACCION
AGRAVADO Y OTROS
66001600003620215418900
PREVARICATO 66001600003620205097400. PECULADO POR APROPIACION Y CONTRATO SIN CUMPLIMIENTO DE REQUISITOS FORMALES 660016000058201600319 PECULADO POR APROPIACION Y OTROS 66001600003620215274 PECULADO POR APROPIACION 6001600000020170007700. 
LA DIRECCION ADMINISTRATIVA DE TALENTO HUMANO. Informa que para el primer y segundo  trimestre del 2022, no se presentaron denuncias por actos de corrupción, es de aclarar que en la vigencia 2021, se denunciaron varios delitos ante la FISCALÍA GENERAL DE LA NACIÓN, LA CONTRALORÍA MUNICIPAL DE PEREIRA Y LA PROCURADURÍA, por presunto detrimento patrimonial con cargo a un Empleado que se encontraba nombrado en el cargo de TÉCNICO ADMINISTRATIVO en la Dirección Administrativa  de Talento Humano y quién tenía bajo su responsabilidad la liquidación de las cesantías administradas por el FONDO NACIONAL DEL AHORRO. 
Denunciar a este Empleado, permitió hallar otros delitos presuntamente cometidos por otros servidores  de la administración municipal, trece (13) en total, donde se identificó la participación de otros Empleados Públicos, Trabajadores Oficiales y 1 Pensionado. 
Desde la fecha de la denuncia a la actualidad, los tres entes de control han solicitado a través de oficios todo tipo de información del proceso.
• LA CONTRALORÍA MUNICIPAL DE PEREIRA: además de la Solicitud de la información ha expedido:
El informe final sobre la auditoría al proceso de cesantías llegó el día 14 de marzo de 2022, donde auditaron las vigencias 2016 a 2021:
A través del cual quedaron en firme 3 hallazgos: 
• Dos con connotación administrativa y disciplinaria 
• Uno con connotación fiscal, disciplinaria y penal
Donde resultó una afectación fiscal por la suma de $1.738.188.058
Por parte de la Alcaldía de Pereira el 22 DE MARZO DE 2022 se suscribió el Plan de mejoramiento El cual tendrá un tiempo de ejecución hasta el 31 de diciembre de 2022.
Posteriormente 19 DE MAYO DE 2022 Se expide el auto N° 034 Por el cual se da apertura al proceso de Responsabilidad Fiscal Ordinario”
PROCURADURIA: El proceso disciplinario se adelantaba por Control Interno Disciplinario de la Alcaldía de Pereira, y posteriormente la Procuraduría avoco el conocimiento preferente del proceso y continua con la recopilación de información. El proceso actualmente se encuentra en la personería Municipal.
FISCALÍA GENERAL DE LA NACIÓN:
La Fiscalía ha realizado audiencia de formulación de imputación y medida de aseguramiento sobre varias de las personas implicadas en el proceso. Estas audiencias se han adelantado por el JUZGADO 1 PENAL MPAL DE GARANTIAS.  
A la fecha se tiene pendiente el escrito de acusación.
En cuanto a la actividad,  realizada sobre  la socialización del código de integridad en lo corrido del año 2022. 
LA DIRECCION ADMINISTRATIVA DE TALENTO HUMANO
Mediante estrategias de comunicación como la página web, en la cual se encuentra publicado el código de integridad adoptado con los cinco (5) valores, el aplicativo SAIA como estrategia publicitaria.
Enlaces de evidencia curso Función Pública.
http://www.funcionpublica.gov.co/fdci/consultaCiudadana/index?tipoPersonaId=26&amp;razonSocial=&amp;numeroDocumento=&amp;entidad=ALCALDIA+DE+PEREIRA&amp;fechaFinalizacionDesde=&amp;fechaFinalizacionHasta=&amp;find=Buscar#resultadosBusqueda
Enlaces de evidencia Código de Integridad.
http://pereira.gov.co/NuestraAlcaldia/Documents/1%20C%C3%93DIGO%20DE%20INTEGRIDAD%20VIGENCIA%202020%202023%20GOBIERNO%20DE%20LA%20CIUDAD%20_Presentacion_Power_Point_V2%20ABRIL%2016%202020%20PDF.pdf
En las hojas de vida de los funcionarios, reposan las certificaciones de realización del curso de integridad.
En la Alcaldía Municipal de Pereira se encuentran capacitadas 2.655 personas entre funcionarios y contratistas.
El plan de acción, autodiagnóstico y cronograma de actividades a la fecha tiene un alcance del 79.8%
Dentro del programa de Inducción y Reinducción, se  promociona el Código de Integridad, la transparencia y el lema del código de integridad.
http://www.funcionpublica.gov.co/eva/es/consulta-certificados/1/1038/#formularioresultado
</v>
      </c>
      <c r="Q186" s="11">
        <f ca="1">IFERROR(__xludf.DUMMYFUNCTION("""COMPUTED_VALUE"""),44834)</f>
        <v>44834</v>
      </c>
      <c r="R186" s="12">
        <f ca="1">IFERROR(__xludf.DUMMYFUNCTION("""COMPUTED_VALUE"""),1)</f>
        <v>1</v>
      </c>
      <c r="S186" s="10" t="str">
        <f ca="1">IFERROR(__xludf.DUMMYFUNCTION("""COMPUTED_VALUE"""),"La Dirección de Control Interno Disciplinario  mediante saia N. 70367 de fecha 02 de diciembre de 2022 informa que: En el periodo comprendido entre el 01 de octubre de 2022 y la fecha actual, ha dado apertura a nueve (09) procesos por conductas relacionad"&amp;"as con presuntos hechos de corrupción; sin embargo, dado el carácter reservado de los mismos, no se adjunta evidencia. 
La Secretaría Juridica  mediante saia N. 71471 de fecha 7de diciembre  de 2022 manifiesta que : se recibieron comunicaciones de otras d"&amp;"ependencias en las cuales solicitaban adelantar el incumplimiento contractual por hechos de corrupción, para lo cual se comunicó a las dependencias que se estudiaría el posible incumplimiento en la secretaria jurídica pero la denuncia penal si correspondí"&amp;"a debía ser presentada por el delegado del alcalde para contratar. Desde la dirección de defensa jurídica se realiza la defensa de los intereses del municipio en procesos penales en los cuales el municipio de Pereira ha comparecido en calidad de Víctima, "&amp;"por delitos como:   PECULADO POR APROPIACIÓN Y ASOCIACIÓN PARA COMISIÓN DE UN DELITO CONTRA LA ADMINISTRACIÓN PUBLICA. PECULADO POR APROPIACION Y OTROS. CELEBRACIÓN DE CONTRATOS SIN CUMPLIMIENTO DE REQUISITOS FORMALES. CELEBRACIÓN INDEBIDA DE CONTRATOS. P"&amp;"REVARICATO POR ACCION, FALSEDAD IDEOLOGICA EN DOCUMENTO PUBLICO Y OTROS. De lo anteriorlos expedientes tienen reserva por la naturaleza de los procesos.
LA DIRECCION ADMINISTRATIVA DE TALENTO HUMANO mediante saia N. 70664 de fecha 5 de diciembre de 2022"&amp;" informa que:   para el corte 30 de  septiembre a 30 de Diciembre  de 2022, realizó una  invitación a  capacitación realizada de forma virtual a través de la herramienta Teams, el miércoles 9 y 14 de noviembre de 2022, donde se contó con la participación "&amp;"de funcionarios y contratistas, la capacitación se realizó por la función pública y trato temas de integridad y conflicto de interés 
A su vez se continuo  de socialización del código de integridad, 2 estrategias de comunicación en la página web, en la cu"&amp;"al se encuentra publicado el código de integridad adoptado, con los 5 valores, y el aplicativo SAIA como estrategia publicitaria, logrando comunicar las actividades para promover el Código de Integridad,  y Se llevó a cabo el nuevo proceso de inducción a "&amp;"todos los funcionarios, el cual se encuentra montado en la página web y cuyo link de ingreso es: 
Enlaces de evidencia curso Función Pública.
http://www.funcionpublica.gov.co/fdci/consultaCiudadana/index?tipoPersonaId=26&amp;razonSocial=&amp;numeroDocumento=&amp;ent"&amp;"idad=ALCALDIA+DE+PEREIRA&amp;fechaFinalizacionDesde=&amp;fechaFinalizacionHasta=&amp;find=Buscar#resultadosBusqueda
Enlaces de evidencia Código de Integridad.
http://pereira.gov.co/NuestraAlcaldia/Documents/1%20C%C3%93DIGO%20DE%20INTEGRIDAD%20VIGENCIA%202020%20202"&amp;"3%20GOBIERNO%20DE%20LA%20CIUDAD%20_Presentacion_Power_Point_V2%20ABRIL%2016%202020%20PDF.pdf
Se llevó a cabo el nuevo proceso de inducción a todos los funcionarios, el cual se encuentra montado en la página web y cuyo link de ingreso es: 
https://www.pere"&amp;"ira.gov.co/publicaciones/4545/direccion-de-talento-humano-programa- induccion---alcaldia-de-pereira/
Para el 22 de noviembre se celebró el día de los mejores donde se realizó una socialización del Código de Integridad, y el PAAC. Afianzando los valores de"&amp;" Integridad y lucha contra la corrupción a los funcionarios públicos las evidencias reposan en el correo del pic@pereira,gov.co
")</f>
        <v xml:space="preserve">La Dirección de Control Interno Disciplinario  mediante saia N. 70367 de fecha 02 de diciembre de 2022 informa que: En el periodo comprendido entre el 01 de octubre de 2022 y la fecha actual, ha dado apertura a nueve (09) procesos por conductas relacionadas con presuntos hechos de corrupción; sin embargo, dado el carácter reservado de los mismos, no se adjunta evidencia. 
La Secretaría Juridica  mediante saia N. 71471 de fecha 7de diciembre  de 2022 manifiesta que : se recibieron comunicaciones de otras dependencias en las cuales solicitaban adelantar el incumplimiento contractual por hechos de corrupción, para lo cual se comunicó a las dependencias que se estudiaría el posible incumplimiento en la secretaria jurídica pero la denuncia penal si correspondía debía ser presentada por el delegado del alcalde para contratar. Desde la dirección de defensa jurídica se realiza la defensa de los intereses del municipio en procesos penales en los cuales el municipio de Pereira ha comparecido en calidad de Víctima, por delitos como:   PECULADO POR APROPIACIÓN Y ASOCIACIÓN PARA COMISIÓN DE UN DELITO CONTRA LA ADMINISTRACIÓN PUBLICA. PECULADO POR APROPIACION Y OTROS. CELEBRACIÓN DE CONTRATOS SIN CUMPLIMIENTO DE REQUISITOS FORMALES. CELEBRACIÓN INDEBIDA DE CONTRATOS. PREVARICATO POR ACCION, FALSEDAD IDEOLOGICA EN DOCUMENTO PUBLICO Y OTROS. De lo anteriorlos expedientes tienen reserva por la naturaleza de los procesos.
LA DIRECCION ADMINISTRATIVA DE TALENTO HUMANO mediante saia N. 70664 de fecha 5 de diciembre de 2022 informa que:   para el corte 30 de  septiembre a 30 de Diciembre  de 2022, realizó una  invitación a  capacitación realizada de forma virtual a través de la herramienta Teams, el miércoles 9 y 14 de noviembre de 2022, donde se contó con la participación de funcionarios y contratistas, la capacitación se realizó por la función pública y trato temas de integridad y conflicto de interés 
A su vez se continuo  de socialización del código de integridad, 2 estrategias de comunicación en la página web, en la cual se encuentra publicado el código de integridad adoptado, con los 5 valores, y el aplicativo SAIA como estrategia publicitaria, logrando comunicar las actividades para promover el Código de Integridad,  y Se llevó a cabo el nuevo proceso de inducción a todos los funcionarios, el cual se encuentra montado en la página web y cuyo link de ingreso es: 
Enlaces de evidencia curso Función Pública.
http://www.funcionpublica.gov.co/fdci/consultaCiudadana/index?tipoPersonaId=26&amp;razonSocial=&amp;numeroDocumento=&amp;entidad=ALCALDIA+DE+PEREIRA&amp;fechaFinalizacionDesde=&amp;fechaFinalizacionHasta=&amp;find=Buscar#resultadosBusqueda
Enlaces de evidencia Código de Integridad.
http://pereira.gov.co/NuestraAlcaldia/Documents/1%20C%C3%93DIGO%20DE%20INTEGRIDAD%20VIGENCIA%202020%202023%20GOBIERNO%20DE%20LA%20CIUDAD%20_Presentacion_Power_Point_V2%20ABRIL%2016%202020%20PDF.pdf
Se llevó a cabo el nuevo proceso de inducción a todos los funcionarios, el cual se encuentra montado en la página web y cuyo link de ingreso es: 
https://www.pereira.gov.co/publicaciones/4545/direccion-de-talento-humano-programa- induccion---alcaldia-de-pereira/
Para el 22 de noviembre se celebró el día de los mejores donde se realizó una socialización del Código de Integridad, y el PAAC. Afianzando los valores de Integridad y lucha contra la corrupción a los funcionarios públicos las evidencias reposan en el correo del pic@pereira,gov.co
</v>
      </c>
      <c r="T186" s="11">
        <f ca="1">IFERROR(__xludf.DUMMYFUNCTION("""COMPUTED_VALUE"""),44926)</f>
        <v>44926</v>
      </c>
      <c r="U186" s="10"/>
    </row>
    <row r="187" spans="1:21" ht="204" x14ac:dyDescent="0.2">
      <c r="A187" s="10" t="str">
        <f ca="1">IFERROR(__xludf.DUMMYFUNCTION("""COMPUTED_VALUE"""),"Información y Comunicación")</f>
        <v>Información y Comunicación</v>
      </c>
      <c r="B187" s="10" t="str">
        <f ca="1">IFERROR(__xludf.DUMMYFUNCTION("""COMPUTED_VALUE"""),"Transparencia, acceso a la información pública y lucha contra la corrupción 
")</f>
        <v xml:space="preserve">Transparencia, acceso a la información pública y lucha contra la corrupción 
</v>
      </c>
      <c r="C187" s="10" t="str">
        <f ca="1">IFERROR(__xludf.DUMMYFUNCTION("""COMPUTED_VALUE"""),"Llevar a cabo una gestión del riesgo en la entidad, que le permita controlar los puntos críticos de éxito.")</f>
        <v>Llevar a cabo una gestión del riesgo en la entidad, que le permita controlar los puntos críticos de éxito.</v>
      </c>
      <c r="D187" s="10" t="str">
        <f ca="1">IFERROR(__xludf.DUMMYFUNCTION("""COMPUTED_VALUE"""),"Vincular y realizar seguimiento oportuno a las actividades del Plan Anticorrupción y Atención al Ciudadano - PAAC, especificamente en el componente de gestión del riesgo.")</f>
        <v>Vincular y realizar seguimiento oportuno a las actividades del Plan Anticorrupción y Atención al Ciudadano - PAAC, especificamente en el componente de gestión del riesgo.</v>
      </c>
      <c r="E187" s="10" t="str">
        <f ca="1">IFERROR(__xludf.DUMMYFUNCTION("""COMPUTED_VALUE"""),"Actividades vinculadas / Seguimiento a actividades del componente de gestión del riesgo PAAC")</f>
        <v>Actividades vinculadas / Seguimiento a actividades del componente de gestión del riesgo PAAC</v>
      </c>
      <c r="F187" s="11">
        <f ca="1">IFERROR(__xludf.DUMMYFUNCTION("""COMPUTED_VALUE"""),44562)</f>
        <v>44562</v>
      </c>
      <c r="G187" s="11">
        <f ca="1">IFERROR(__xludf.DUMMYFUNCTION("""COMPUTED_VALUE"""),44926)</f>
        <v>44926</v>
      </c>
      <c r="H187" s="10" t="str">
        <f ca="1">IFERROR(__xludf.DUMMYFUNCTION("""COMPUTED_VALUE"""),"Director Técnico Sistemas Integrados de Gestión")</f>
        <v>Director Técnico Sistemas Integrados de Gestión</v>
      </c>
      <c r="I187" s="12"/>
      <c r="J187" s="10"/>
      <c r="K187" s="11"/>
      <c r="L187" s="12">
        <f ca="1">IFERROR(__xludf.DUMMYFUNCTION("""COMPUTED_VALUE"""),0.33)</f>
        <v>0.33</v>
      </c>
      <c r="M187" s="10" t="str">
        <f ca="1">IFERROR(__xludf.DUMMYFUNCTION("""COMPUTED_VALUE"""),"Reporte de seguimiento actividades vinculadas componente gestión del riesgo - PAAC oficio saia No. 22520 de 03 de mayo de 2022 a la Oficina de Control Interno.")</f>
        <v>Reporte de seguimiento actividades vinculadas componente gestión del riesgo - PAAC oficio saia No. 22520 de 03 de mayo de 2022 a la Oficina de Control Interno.</v>
      </c>
      <c r="N187" s="11">
        <f ca="1">IFERROR(__xludf.DUMMYFUNCTION("""COMPUTED_VALUE"""),44742)</f>
        <v>44742</v>
      </c>
      <c r="O187" s="12">
        <f ca="1">IFERROR(__xludf.DUMMYFUNCTION("""COMPUTED_VALUE"""),0.66)</f>
        <v>0.66</v>
      </c>
      <c r="P187" s="10" t="str">
        <f ca="1">IFERROR(__xludf.DUMMYFUNCTION("""COMPUTED_VALUE"""),"reporte de seguimiento actividades vinculadas componente gestión del riesgo - PAAC oficio saia No. 47701 de 05 de septiembre de 2022 a la Oficina de Control Interno.")</f>
        <v>reporte de seguimiento actividades vinculadas componente gestión del riesgo - PAAC oficio saia No. 47701 de 05 de septiembre de 2022 a la Oficina de Control Interno.</v>
      </c>
      <c r="Q187" s="11">
        <f ca="1">IFERROR(__xludf.DUMMYFUNCTION("""COMPUTED_VALUE"""),44834)</f>
        <v>44834</v>
      </c>
      <c r="R187" s="12">
        <f ca="1">IFERROR(__xludf.DUMMYFUNCTION("""COMPUTED_VALUE"""),1)</f>
        <v>1</v>
      </c>
      <c r="S187" s="10" t="str">
        <f ca="1">IFERROR(__xludf.DUMMYFUNCTION("""COMPUTED_VALUE"""),"reporte de seguimiento actividades vinculadas componente gestión del riesgo - PAAC a la Oficina de Control Interno.")</f>
        <v>reporte de seguimiento actividades vinculadas componente gestión del riesgo - PAAC a la Oficina de Control Interno.</v>
      </c>
      <c r="T187" s="11">
        <f ca="1">IFERROR(__xludf.DUMMYFUNCTION("""COMPUTED_VALUE"""),44926)</f>
        <v>44926</v>
      </c>
      <c r="U187" s="10"/>
    </row>
    <row r="188" spans="1:21" ht="409.5" x14ac:dyDescent="0.2">
      <c r="A188" s="10" t="str">
        <f ca="1">IFERROR(__xludf.DUMMYFUNCTION("""COMPUTED_VALUE"""),"Gestión con valores para resultados")</f>
        <v>Gestión con valores para resultados</v>
      </c>
      <c r="B188" s="10" t="str">
        <f ca="1">IFERROR(__xludf.DUMMYFUNCTION("""COMPUTED_VALUE"""),"Participación Ciudadana en la Gestión Pública")</f>
        <v>Participación Ciudadana en la Gestión Pública</v>
      </c>
      <c r="C188" s="10" t="str">
        <f ca="1">IFERROR(__xludf.DUMMYFUNCTION("""COMPUTED_VALUE"""),"Analizar, por parte del  área que ejecutó  la actividad , las recomendaciones u objeciones recibidas en el proceso de participación, evaluar la viabilidad de su incorporación en la actividad que se sometió al proceso de participación y realizar los ajuste"&amp;"s a que haya lugar.")</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D188" s="10" t="str">
        <f ca="1">IFERROR(__xludf.DUMMYFUNCTION("""COMPUTED_VALUE"""),"Sistema de información ")</f>
        <v xml:space="preserve">Sistema de información </v>
      </c>
      <c r="E188" s="10" t="str">
        <f ca="1">IFERROR(__xludf.DUMMYFUNCTION("""COMPUTED_VALUE"""),"% Avance de acciones de mejora implementadas: # de acciones de realizadas/# de acciones de mejora programadas")</f>
        <v>% Avance de acciones de mejora implementadas: # de acciones de realizadas/# de acciones de mejora programadas</v>
      </c>
      <c r="F188" s="11">
        <f ca="1">IFERROR(__xludf.DUMMYFUNCTION("""COMPUTED_VALUE"""),44593)</f>
        <v>44593</v>
      </c>
      <c r="G188" s="11">
        <f ca="1">IFERROR(__xludf.DUMMYFUNCTION("""COMPUTED_VALUE"""),44925)</f>
        <v>44925</v>
      </c>
      <c r="H188" s="10" t="str">
        <f ca="1">IFERROR(__xludf.DUMMYFUNCTION("""COMPUTED_VALUE"""),"Secretaría de Planeación y cada una de las Secretarías relacionadas con procesos de participación ciudadana.")</f>
        <v>Secretaría de Planeación y cada una de las Secretarías relacionadas con procesos de participación ciudadana.</v>
      </c>
      <c r="I188" s="12">
        <f ca="1">IFERROR(__xludf.DUMMYFUNCTION("""COMPUTED_VALUE"""),0.8)</f>
        <v>0.8</v>
      </c>
      <c r="J188" s="10" t="str">
        <f ca="1">IFERROR(__xludf.DUMMYFUNCTION("""COMPUTED_VALUE"""),"Construcción de formatos modelo para reporte y evaluación de actividades de participacíon ciudadana con los enlaces para el 2 semestre del año 2022. Cada Secretaria divulga, promueve y evalúa la participación. Las evidencias reposan en cada una de ellas")</f>
        <v>Construcción de formatos modelo para reporte y evaluación de actividades de participacíon ciudadana con los enlaces para el 2 semestre del año 2022. Cada Secretaria divulga, promueve y evalúa la participación. Las evidencias reposan en cada una de ellas</v>
      </c>
      <c r="K188" s="11">
        <f ca="1">IFERROR(__xludf.DUMMYFUNCTION("""COMPUTED_VALUE"""),44651)</f>
        <v>44651</v>
      </c>
      <c r="L188" s="12">
        <f ca="1">IFERROR(__xludf.DUMMYFUNCTION("""COMPUTED_VALUE"""),0.81)</f>
        <v>0.81</v>
      </c>
      <c r="M188" s="10" t="str">
        <f ca="1">IFERROR(__xludf.DUMMYFUNCTION("""COMPUTED_VALUE"""),"Construcción de formatos modelo para reporte y evaluación de actividades de participacíon ciudadana con los enlaces para el 2 semestre del año 2022. Cada Secretaria divulga, promueve y evalúa la participación. Las evidencias reposan en cada una de ellas")</f>
        <v>Construcción de formatos modelo para reporte y evaluación de actividades de participacíon ciudadana con los enlaces para el 2 semestre del año 2022. Cada Secretaria divulga, promueve y evalúa la participación. Las evidencias reposan en cada una de ellas</v>
      </c>
      <c r="N188" s="11">
        <f ca="1">IFERROR(__xludf.DUMMYFUNCTION("""COMPUTED_VALUE"""),44742)</f>
        <v>44742</v>
      </c>
      <c r="O188" s="12">
        <f ca="1">IFERROR(__xludf.DUMMYFUNCTION("""COMPUTED_VALUE"""),0.85)</f>
        <v>0.85</v>
      </c>
      <c r="P188" s="10" t="str">
        <f ca="1">IFERROR(__xludf.DUMMYFUNCTION("""COMPUTED_VALUE"""),"Construcción de formatos modelo para reporte y evaluación de actividades de participacíon ciudadana con los enlaces para el 2 semestre del año 2022.  Cada Secretaria divulga, promueve y evalúa la participación. Las evidencias reposan en cada una de ellas")</f>
        <v>Construcción de formatos modelo para reporte y evaluación de actividades de participacíon ciudadana con los enlaces para el 2 semestre del año 2022.  Cada Secretaria divulga, promueve y evalúa la participación. Las evidencias reposan en cada una de ellas</v>
      </c>
      <c r="Q188" s="11">
        <f ca="1">IFERROR(__xludf.DUMMYFUNCTION("""COMPUTED_VALUE"""),44834)</f>
        <v>44834</v>
      </c>
      <c r="R188" s="12">
        <f ca="1">IFERROR(__xludf.DUMMYFUNCTION("""COMPUTED_VALUE"""),0.87)</f>
        <v>0.87</v>
      </c>
      <c r="S188" s="10" t="str">
        <f ca="1">IFERROR(__xludf.DUMMYFUNCTION("""COMPUTED_VALUE"""),"Construcción de formatos modelo para reporte y evaluación de actividades de participacíon ciudadana que se construirá en el año 2023. En la reunión del 04 de noviembre del 2022 se concertó con el equipo de enlaces de participación ciudadana de todas las d"&amp;"ependencias de la Alcaldía que los indicadores del formato de seguimiento pasarían de cualitativos a cuantitativos para evaluar las actividades de particpación ciudadana.")</f>
        <v>Construcción de formatos modelo para reporte y evaluación de actividades de participacíon ciudadana que se construirá en el año 2023. En la reunión del 04 de noviembre del 2022 se concertó con el equipo de enlaces de participación ciudadana de todas las dependencias de la Alcaldía que los indicadores del formato de seguimiento pasarían de cualitativos a cuantitativos para evaluar las actividades de particpación ciudadana.</v>
      </c>
      <c r="T188" s="11">
        <f ca="1">IFERROR(__xludf.DUMMYFUNCTION("""COMPUTED_VALUE"""),44926)</f>
        <v>44926</v>
      </c>
      <c r="U188" s="10"/>
    </row>
    <row r="189" spans="1:21" ht="409.5" x14ac:dyDescent="0.2">
      <c r="A189" s="10" t="str">
        <f ca="1">IFERROR(__xludf.DUMMYFUNCTION("""COMPUTED_VALUE"""),"Gestión con valores para resultados")</f>
        <v>Gestión con valores para resultados</v>
      </c>
      <c r="B189" s="10" t="str">
        <f ca="1">IFERROR(__xludf.DUMMYFUNCTION("""COMPUTED_VALUE"""),"Participación Ciudadana en la Gestión Pública")</f>
        <v>Participación Ciudadana en la Gestión Pública</v>
      </c>
      <c r="C189" s="10" t="str">
        <f ca="1">IFERROR(__xludf.DUMMYFUNCTION("""COMPUTED_VALUE"""),"Mejorar las actividades de promoción del control social y veedurías ciudadana mediante la participación de los grupos de valor en la gestión de la entidad.")</f>
        <v>Mejorar las actividades de promoción del control social y veedurías ciudadana mediante la participación de los grupos de valor en la gestión de la entidad.</v>
      </c>
      <c r="D189" s="10"/>
      <c r="E189" s="10" t="str">
        <f ca="1">IFERROR(__xludf.DUMMYFUNCTION("""COMPUTED_VALUE""")," # de veedurías ciudadanas proyectadas / # de veedurías ciudadanas programadas")</f>
        <v xml:space="preserve"> # de veedurías ciudadanas proyectadas / # de veedurías ciudadanas programadas</v>
      </c>
      <c r="F189" s="11">
        <f ca="1">IFERROR(__xludf.DUMMYFUNCTION("""COMPUTED_VALUE"""),44621)</f>
        <v>44621</v>
      </c>
      <c r="G189" s="11">
        <f ca="1">IFERROR(__xludf.DUMMYFUNCTION("""COMPUTED_VALUE"""),44925)</f>
        <v>44925</v>
      </c>
      <c r="H189" s="10" t="str">
        <f ca="1">IFERROR(__xludf.DUMMYFUNCTION("""COMPUTED_VALUE"""),"Secretaría de Planeación y cada una de las Secretarías relacionadas con procesos de participación ciudadana.")</f>
        <v>Secretaría de Planeación y cada una de las Secretarías relacionadas con procesos de participación ciudadana.</v>
      </c>
      <c r="I189" s="12"/>
      <c r="J189" s="10"/>
      <c r="K189" s="11"/>
      <c r="L189" s="12">
        <f ca="1">IFERROR(__xludf.DUMMYFUNCTION("""COMPUTED_VALUE"""),0.7)</f>
        <v>0.7</v>
      </c>
      <c r="M189" s="10" t="str">
        <f ca="1">IFERROR(__xludf.DUMMYFUNCTION("""COMPUTED_VALUE"""),"Veedurías ciudadanas inscritas para el control de los procesos desarrollados en cada una de las Secretarías donde hubiere lugar. Cinco veedurias inscritas a la fecha para el proceso de presupuesto participativo (Comuna Olímpica, Comuna Centro, Comuna Bost"&amp;"on, Corregimiento Estrella La Palmilla, Corregimiento Cerritos.")</f>
        <v>Veedurías ciudadanas inscritas para el control de los procesos desarrollados en cada una de las Secretarías donde hubiere lugar. Cinco veedurias inscritas a la fecha para el proceso de presupuesto participativo (Comuna Olímpica, Comuna Centro, Comuna Boston, Corregimiento Estrella La Palmilla, Corregimiento Cerritos.</v>
      </c>
      <c r="N189" s="11">
        <f ca="1">IFERROR(__xludf.DUMMYFUNCTION("""COMPUTED_VALUE"""),44742)</f>
        <v>44742</v>
      </c>
      <c r="O189" s="12">
        <f ca="1">IFERROR(__xludf.DUMMYFUNCTION("""COMPUTED_VALUE"""),0.78)</f>
        <v>0.78</v>
      </c>
      <c r="P189" s="10" t="str">
        <f ca="1">IFERROR(__xludf.DUMMYFUNCTION("""COMPUTED_VALUE"""),"Veedurías ciudadanas inscritas para el control de los procesos desarrollados en cada una de las Secretarías donde hubiere lugar. Ocho veedurias inscritas a la fecha para el proceso de presupuesto participativo (Comuna Olímpica, Comuna Centro, Comuna Bosto"&amp;"n, Corregimiento Estrella La Palmilla, Corregimiento Cerritos, Comuna Cuba, Comuna El Poblado, Comuna El Jardín.")</f>
        <v>Veedurías ciudadanas inscritas para el control de los procesos desarrollados en cada una de las Secretarías donde hubiere lugar. Ocho veedurias inscritas a la fecha para el proceso de presupuesto participativo (Comuna Olímpica, Comuna Centro, Comuna Boston, Corregimiento Estrella La Palmilla, Corregimiento Cerritos, Comuna Cuba, Comuna El Poblado, Comuna El Jardín.</v>
      </c>
      <c r="Q189" s="11">
        <f ca="1">IFERROR(__xludf.DUMMYFUNCTION("""COMPUTED_VALUE"""),44834)</f>
        <v>44834</v>
      </c>
      <c r="R189" s="12">
        <f ca="1">IFERROR(__xludf.DUMMYFUNCTION("""COMPUTED_VALUE"""),0.9)</f>
        <v>0.9</v>
      </c>
      <c r="S189" s="10" t="str">
        <f ca="1">IFERROR(__xludf.DUMMYFUNCTION("""COMPUTED_VALUE"""),"Planes acción de cada una de las Secretarías. Informe de seguimiento a los planes de acción elaborado por la Secretaría de Planeación, dicha herramienta es de corte triImestral. Seguimiento a la política de participación ciudadana para la gestión pública "&amp;"y políticas públicas. Veedurías ciudadanas inscritas para el control de los procesos desarrollados en cada una de las Secretarías donde hubiere lugar. 11 veedurias inscritas a la fecha para el proceso de presupuesto participativo (Comuna Olímpica, Comuna "&amp;"Centro, Comuna Boston, Corregimiento Estrella La Palmilla, Corregimiento Cerritos, Comuna el Jardín, Comuna Cuba y Comuna El Poblado, Crregimiento de Caimalito , Arabia y Puerto Caldas estas últimas  en el último trimestre del año 2022. Se tienen proyecta"&amp;"das para finalizar el año los corregimientos de Morelia y la Bella y la Comuna Villavicencio.")</f>
        <v>Planes acción de cada una de las Secretarías. Informe de seguimiento a los planes de acción elaborado por la Secretaría de Planeación, dicha herramienta es de corte triImestral. Seguimiento a la política de participación ciudadana para la gestión pública y políticas públicas. Veedurías ciudadanas inscritas para el control de los procesos desarrollados en cada una de las Secretarías donde hubiere lugar. 11 veedurias inscritas a la fecha para el proceso de presupuesto participativo (Comuna Olímpica, Comuna Centro, Comuna Boston, Corregimiento Estrella La Palmilla, Corregimiento Cerritos, Comuna el Jardín, Comuna Cuba y Comuna El Poblado, Crregimiento de Caimalito , Arabia y Puerto Caldas estas últimas  en el último trimestre del año 2022. Se tienen proyectadas para finalizar el año los corregimientos de Morelia y la Bella y la Comuna Villavicencio.</v>
      </c>
      <c r="T189" s="11">
        <f ca="1">IFERROR(__xludf.DUMMYFUNCTION("""COMPUTED_VALUE"""),44926)</f>
        <v>44926</v>
      </c>
      <c r="U189" s="10"/>
    </row>
    <row r="190" spans="1:21" ht="409.5" x14ac:dyDescent="0.2">
      <c r="A190" s="10" t="str">
        <f ca="1">IFERROR(__xludf.DUMMYFUNCTION("""COMPUTED_VALUE"""),"Direccionamiento Estratégico y Planeación")</f>
        <v>Direccionamiento Estratégico y Planeación</v>
      </c>
      <c r="B190" s="10" t="str">
        <f ca="1">IFERROR(__xludf.DUMMYFUNCTION("""COMPUTED_VALUE"""),"Planeación Institucional")</f>
        <v>Planeación Institucional</v>
      </c>
      <c r="C190" s="10" t="str">
        <f ca="1">IFERROR(__xludf.DUMMYFUNCTION("""COMPUTED_VALUE"""),"Identificacion de mecanismos para el seguimiento, control y evaluacion")</f>
        <v>Identificacion de mecanismos para el seguimiento, control y evaluacion</v>
      </c>
      <c r="D190" s="10" t="str">
        <f ca="1">IFERROR(__xludf.DUMMYFUNCTION("""COMPUTED_VALUE"""),"Mesas de trabajo: Control interno, Sistemas Integrados de Gestion, Servicio al Ciudadano, Secretaria de Planeacion municipal.")</f>
        <v>Mesas de trabajo: Control interno, Sistemas Integrados de Gestion, Servicio al Ciudadano, Secretaria de Planeacion municipal.</v>
      </c>
      <c r="E190" s="10" t="str">
        <f ca="1">IFERROR(__xludf.DUMMYFUNCTION("""COMPUTED_VALUE"""),"Seguimientos mensuales a los mecanismos para el seguimiento, control y evaluacion")</f>
        <v>Seguimientos mensuales a los mecanismos para el seguimiento, control y evaluacion</v>
      </c>
      <c r="F190" s="11">
        <f ca="1">IFERROR(__xludf.DUMMYFUNCTION("""COMPUTED_VALUE"""),44774)</f>
        <v>44774</v>
      </c>
      <c r="G190" s="11">
        <f ca="1">IFERROR(__xludf.DUMMYFUNCTION("""COMPUTED_VALUE"""),44925)</f>
        <v>44925</v>
      </c>
      <c r="H190" s="10" t="str">
        <f ca="1">IFERROR(__xludf.DUMMYFUNCTION("""COMPUTED_VALUE"""),"Secretario de Planeación Municipal")</f>
        <v>Secretario de Planeación Municipal</v>
      </c>
      <c r="I190" s="12"/>
      <c r="J190" s="10"/>
      <c r="K190" s="11"/>
      <c r="L190" s="12">
        <f ca="1">IFERROR(__xludf.DUMMYFUNCTION("""COMPUTED_VALUE"""),0)</f>
        <v>0</v>
      </c>
      <c r="M190" s="10"/>
      <c r="N190" s="11">
        <f ca="1">IFERROR(__xludf.DUMMYFUNCTION("""COMPUTED_VALUE"""),44742)</f>
        <v>44742</v>
      </c>
      <c r="O190" s="12">
        <f ca="1">IFERROR(__xludf.DUMMYFUNCTION("""COMPUTED_VALUE"""),0.7)</f>
        <v>0.7</v>
      </c>
      <c r="P190" s="10" t="str">
        <f ca="1">IFERROR(__xludf.DUMMYFUNCTION("""COMPUTED_VALUE"""),"Se realizo mesa de trabajo SIG con los lideres de las politicas MIPG, instancia donde se socializo la identificacion de  la transversalidad de las actividades y recomendaciones del FURAG, mesa realizada el dia 29 de septiembre de 2022, convocada mediante "&amp;"SAIA 53205.
Se proyecto SAIAs a las areas de Control Interno, Sistemas Integrados de Gestion, Secretaria TICs , Servicio al ciudadano, con la finalidad de realizar mesas de trabajo tendientes a revisar las recomendaciones por cada una de las areas involuc"&amp;"radas en la transversalidad.
Se realizo el tercer corte trimestral a los planeas de accion del Plan de Desarrollo Municipal:
https://www.pereira.gov.co/loader.php?lServicio=Tools2&amp;lTipo=descargas&amp;lFuncion=descargar&amp;idFile=64729 
https://www.pereira.gov.co"&amp;"/loader.php?lServicio=Tools2&amp;lTipo=descargas&amp;lFuncion=descargar&amp;idFile=64730 
, Se realizo corte y seguimiento al Plan de Ordenamiento Territorial POT Expediente Municipal.
https://sites.google.com/view/expedientemunicipal/seguimiento
En el seguimiento d"&amp;"e la Planeacion institucional, contamos con lel seguimiento y publicacion trimestral a los planes  de accion de las politicas MIPG, informes publicados en el boton MIPG pagina web de la Alcaldia de Pereira.")</f>
        <v>Se realizo mesa de trabajo SIG con los lideres de las politicas MIPG, instancia donde se socializo la identificacion de  la transversalidad de las actividades y recomendaciones del FURAG, mesa realizada el dia 29 de septiembre de 2022, convocada mediante SAIA 53205.
Se proyecto SAIAs a las areas de Control Interno, Sistemas Integrados de Gestion, Secretaria TICs , Servicio al ciudadano, con la finalidad de realizar mesas de trabajo tendientes a revisar las recomendaciones por cada una de las areas involucradas en la transversalidad.
Se realizo el tercer corte trimestral a los planeas de accion del Plan de Desarrollo Municipal:
https://www.pereira.gov.co/loader.php?lServicio=Tools2&amp;lTipo=descargas&amp;lFuncion=descargar&amp;idFile=64729 
https://www.pereira.gov.co/loader.php?lServicio=Tools2&amp;lTipo=descargas&amp;lFuncion=descargar&amp;idFile=64730 
, Se realizo corte y seguimiento al Plan de Ordenamiento Territorial POT Expediente Municipal.
https://sites.google.com/view/expedientemunicipal/seguimiento
En el seguimiento de la Planeacion institucional, contamos con lel seguimiento y publicacion trimestral a los planes  de accion de las politicas MIPG, informes publicados en el boton MIPG pagina web de la Alcaldia de Pereira.</v>
      </c>
      <c r="Q190" s="11">
        <f ca="1">IFERROR(__xludf.DUMMYFUNCTION("""COMPUTED_VALUE"""),44834)</f>
        <v>44834</v>
      </c>
      <c r="R190" s="12">
        <f ca="1">IFERROR(__xludf.DUMMYFUNCTION("""COMPUTED_VALUE"""),1)</f>
        <v>1</v>
      </c>
      <c r="S190" s="10" t="str">
        <f ca="1">IFERROR(__xludf.DUMMYFUNCTION("""COMPUTED_VALUE"""),"Se realizo reunion con la oficina Asesora de Control Interno: Dr Luis Guillermo Garcia ramirez, Jose fernando aguirre, Secretaria TICs, Profesional especializada Martha Lucia Giraldo, Sistemas Integrados de Gestion, contratista Jhon fredy Bedoya, oficina "&amp;"de Servicio al ciudadano, profesional Especializada Dra Diana Rodriguez, reuniones en las cuales se identificaron las problematicas y se acordo que el reporte al FURAG, se realizara en forma conjunta, para dar respuestas a las preguntas que enmarcan las r"&amp;"ecomendaciones del FURAG- DAFP.")</f>
        <v>Se realizo reunion con la oficina Asesora de Control Interno: Dr Luis Guillermo Garcia ramirez, Jose fernando aguirre, Secretaria TICs, Profesional especializada Martha Lucia Giraldo, Sistemas Integrados de Gestion, contratista Jhon fredy Bedoya, oficina de Servicio al ciudadano, profesional Especializada Dra Diana Rodriguez, reuniones en las cuales se identificaron las problematicas y se acordo que el reporte al FURAG, se realizara en forma conjunta, para dar respuestas a las preguntas que enmarcan las recomendaciones del FURAG- DAFP.</v>
      </c>
      <c r="T190" s="11">
        <f ca="1">IFERROR(__xludf.DUMMYFUNCTION("""COMPUTED_VALUE"""),44925)</f>
        <v>44925</v>
      </c>
      <c r="U190" s="10"/>
    </row>
    <row r="191" spans="1:21" ht="409.5" x14ac:dyDescent="0.2">
      <c r="A191" s="10" t="str">
        <f ca="1">IFERROR(__xludf.DUMMYFUNCTION("""COMPUTED_VALUE"""),"Gestión con valores para resultados")</f>
        <v>Gestión con valores para resultados</v>
      </c>
      <c r="B191" s="10" t="str">
        <f ca="1">IFERROR(__xludf.DUMMYFUNCTION("""COMPUTED_VALUE"""),"Racionalización de Trámites")</f>
        <v>Racionalización de Trámites</v>
      </c>
      <c r="C191" s="10" t="str">
        <f ca="1">IFERROR(__xludf.DUMMYFUNCTION("""COMPUTED_VALUE"""),"Convocar al Comité Técnico para la Racionalización de Trámites, de acuerdo con las orientaciones de la Guía Metodológica para la Racionalización de Trámites del Departamento Administrativo de la Función Pública.")</f>
        <v>Convocar al Comité Técnico para la Racionalización de Trámites, de acuerdo con las orientaciones de la Guía Metodológica para la Racionalización de Trámites del Departamento Administrativo de la Función Pública.</v>
      </c>
      <c r="D191" s="10" t="str">
        <f ca="1">IFERROR(__xludf.DUMMYFUNCTION("""COMPUTED_VALUE"""),"Comité técnico para la racionalización de trámites convocado durante cada Ciclo de Racionalización")</f>
        <v>Comité técnico para la racionalización de trámites convocado durante cada Ciclo de Racionalización</v>
      </c>
      <c r="E191" s="10" t="str">
        <f ca="1">IFERROR(__xludf.DUMMYFUNCTION("""COMPUTED_VALUE"""),"Número de reuniones Comité Técnico para la Racionalización de Trámites realizadas / Número de reuniones Comité Técnico para la Racionalización de Trámites programadas")</f>
        <v>Número de reuniones Comité Técnico para la Racionalización de Trámites realizadas / Número de reuniones Comité Técnico para la Racionalización de Trámites programadas</v>
      </c>
      <c r="F191" s="11">
        <f ca="1">IFERROR(__xludf.DUMMYFUNCTION("""COMPUTED_VALUE"""),44593)</f>
        <v>44593</v>
      </c>
      <c r="G191" s="11"/>
      <c r="H191" s="10" t="str">
        <f ca="1">IFERROR(__xludf.DUMMYFUNCTION("""COMPUTED_VALUE"""),"Director de Información y Servicios Digitales
 Cómite Institucional de Gestión y Desempeño")</f>
        <v>Director de Información y Servicios Digitales
 Cómite Institucional de Gestión y Desempeño</v>
      </c>
      <c r="I191" s="12"/>
      <c r="J191" s="10" t="str">
        <f ca="1">IFERROR(__xludf.DUMMYFUNCTION("""COMPUTED_VALUE"""),"Actas del Comité de Racionalización Ciclo 1 Secretarías de Cultura, Jurídica y Vivienda Social
 https://drive.google.com/drive/folders/1h2pvHmDH-ItNFj-I8OLHeVdiJXUVJEml?usp=sharing")</f>
        <v>Actas del Comité de Racionalización Ciclo 1 Secretarías de Cultura, Jurídica y Vivienda Social
 https://drive.google.com/drive/folders/1h2pvHmDH-ItNFj-I8OLHeVdiJXUVJEml?usp=sharing</v>
      </c>
      <c r="K191" s="11">
        <f ca="1">IFERROR(__xludf.DUMMYFUNCTION("""COMPUTED_VALUE"""),44650)</f>
        <v>44650</v>
      </c>
      <c r="L191" s="12">
        <f ca="1">IFERROR(__xludf.DUMMYFUNCTION("""COMPUTED_VALUE"""),0.6)</f>
        <v>0.6</v>
      </c>
      <c r="M191" s="10" t="str">
        <f ca="1">IFERROR(__xludf.DUMMYFUNCTION("""COMPUTED_VALUE"""),"Actas del Comité de Racionalización Ciclo 1 Secretarías de Cultura, Jurídica y Vivienda Social
 https://drive.google.com/drive/folders/1h2pvHmDH-ItNFj-I8OLHeVdiJXUVJEml?usp=sharing")</f>
        <v>Actas del Comité de Racionalización Ciclo 1 Secretarías de Cultura, Jurídica y Vivienda Social
 https://drive.google.com/drive/folders/1h2pvHmDH-ItNFj-I8OLHeVdiJXUVJEml?usp=sharing</v>
      </c>
      <c r="N191" s="11">
        <f ca="1">IFERROR(__xludf.DUMMYFUNCTION("""COMPUTED_VALUE"""),44742)</f>
        <v>44742</v>
      </c>
      <c r="O191" s="12">
        <f ca="1">IFERROR(__xludf.DUMMYFUNCTION("""COMPUTED_VALUE"""),0.8)</f>
        <v>0.8</v>
      </c>
      <c r="P191" s="10" t="str">
        <f ca="1">IFERROR(__xludf.DUMMYFUNCTION("""COMPUTED_VALUE"""),"Actas del Comité de Racionalización Ciclo 1 Secretarías de Cultura, Jurídica y Vivienda Social
 https://drive.google.com/drive/folders/1h2pvHmDH-ItNFj-I8OLHeVdiJXUVJEml?usp=sharing
 Actas del Comité de Racionalización Ciclo 2 Secretarías de Desarrollo"&amp;" Económico y Competitividad
 https://drive.google.com/drive/folders/14-qDwl7x7eOF9zpDIrLQdhrZcfjDSonT?usp=sharing
 https://drive.google.com/drive/folders/1j_4iKw1WAWWljMVvIN14WKNOFv0A7Uw6?usp=sharing")</f>
        <v>Actas del Comité de Racionalización Ciclo 1 Secretarías de Cultura, Jurídica y Vivienda Social
 https://drive.google.com/drive/folders/1h2pvHmDH-ItNFj-I8OLHeVdiJXUVJEml?usp=sharing
 Actas del Comité de Racionalización Ciclo 2 Secretarías de Desarrollo Económico y Competitividad
 https://drive.google.com/drive/folders/14-qDwl7x7eOF9zpDIrLQdhrZcfjDSonT?usp=sharing
 https://drive.google.com/drive/folders/1j_4iKw1WAWWljMVvIN14WKNOFv0A7Uw6?usp=sharing</v>
      </c>
      <c r="Q191" s="11">
        <f ca="1">IFERROR(__xludf.DUMMYFUNCTION("""COMPUTED_VALUE"""),44834)</f>
        <v>44834</v>
      </c>
      <c r="R191" s="12">
        <f ca="1">IFERROR(__xludf.DUMMYFUNCTION("""COMPUTED_VALUE"""),1)</f>
        <v>1</v>
      </c>
      <c r="S191" s="10" t="str">
        <f ca="1">IFERROR(__xludf.DUMMYFUNCTION("""COMPUTED_VALUE"""),"Actas del Comité de Racionalización Ciclo 1 Secretarías de Cultura, Jurídica y Vivienda Social
 https://drive.google.com/drive/folders/1h2pvHmDH-ItNFj-I8OLHeVdiJXUVJEml?usp=sharing
 Actas del Comité de Racionalización Ciclo 2 Secretarías de Desarrollo"&amp;" Económico y Competitividad
 https://drive.google.com/drive/folders/1j_4iKw1WAWWljMVvIN14WKNOFv0A7Uw6?usp=sharing
 Actas del Comité de Racionalización Ciclo 3 Secretaría de Gestión Administrativa
 https://drive.google.com/drive/folders/1kb4nlYs5LopV"&amp;"MaDzbhhOEvELPvRHZGZ5?usp=share_link")</f>
        <v>Actas del Comité de Racionalización Ciclo 1 Secretarías de Cultura, Jurídica y Vivienda Social
 https://drive.google.com/drive/folders/1h2pvHmDH-ItNFj-I8OLHeVdiJXUVJEml?usp=sharing
 Actas del Comité de Racionalización Ciclo 2 Secretarías de Desarrollo Económico y Competitividad
 https://drive.google.com/drive/folders/1j_4iKw1WAWWljMVvIN14WKNOFv0A7Uw6?usp=sharing
 Actas del Comité de Racionalización Ciclo 3 Secretaría de Gestión Administrativa
 https://drive.google.com/drive/folders/1kb4nlYs5LopVMaDzbhhOEvELPvRHZGZ5?usp=share_link</v>
      </c>
      <c r="T191" s="11">
        <f ca="1">IFERROR(__xludf.DUMMYFUNCTION("""COMPUTED_VALUE"""),44926)</f>
        <v>44926</v>
      </c>
      <c r="U191" s="10"/>
    </row>
    <row r="192" spans="1:21" ht="409.5" x14ac:dyDescent="0.2">
      <c r="A192" s="10" t="str">
        <f ca="1">IFERROR(__xludf.DUMMYFUNCTION("""COMPUTED_VALUE"""),"Gestión con valores para resultados")</f>
        <v>Gestión con valores para resultados</v>
      </c>
      <c r="B192" s="10" t="str">
        <f ca="1">IFERROR(__xludf.DUMMYFUNCTION("""COMPUTED_VALUE"""),"Racionalización de Trámites")</f>
        <v>Racionalización de Trámites</v>
      </c>
      <c r="C192" s="10" t="str">
        <f ca="1">IFERROR(__xludf.DUMMYFUNCTION("""COMPUTED_VALUE"""),"Realizar mínimo tres ciclos de Racionalización de Trámites en la vigencia, dando cumplimiento a la Guía de Racionalización de Trámites del Departamento Administrativo de la Función Pública")</f>
        <v>Realizar mínimo tres ciclos de Racionalización de Trámites en la vigencia, dando cumplimiento a la Guía de Racionalización de Trámites del Departamento Administrativo de la Función Pública</v>
      </c>
      <c r="D192" s="10" t="str">
        <f ca="1">IFERROR(__xludf.DUMMYFUNCTION("""COMPUTED_VALUE"""),"Ciclos de Racionalización de Trámites ejecutados")</f>
        <v>Ciclos de Racionalización de Trámites ejecutados</v>
      </c>
      <c r="E192" s="10" t="str">
        <f ca="1">IFERROR(__xludf.DUMMYFUNCTION("""COMPUTED_VALUE"""),"100% de los Ciclos de Racionalización ejecutados")</f>
        <v>100% de los Ciclos de Racionalización ejecutados</v>
      </c>
      <c r="F192" s="11">
        <f ca="1">IFERROR(__xludf.DUMMYFUNCTION("""COMPUTED_VALUE"""),44593)</f>
        <v>44593</v>
      </c>
      <c r="G192" s="11"/>
      <c r="H192" s="10" t="str">
        <f ca="1">IFERROR(__xludf.DUMMYFUNCTION("""COMPUTED_VALUE"""),"Director de Información y Servicios Digitales")</f>
        <v>Director de Información y Servicios Digitales</v>
      </c>
      <c r="I192" s="12">
        <f ca="1">IFERROR(__xludf.DUMMYFUNCTION("""COMPUTED_VALUE"""),0.2)</f>
        <v>0.2</v>
      </c>
      <c r="J192" s="10" t="str">
        <f ca="1">IFERROR(__xludf.DUMMYFUNCTION("""COMPUTED_VALUE"""),"Se cuenta con la actualización del Inventario de trámites y OPAS del ciclo 1 de racionalización que se encuentra en ejecución y se actualiza la información de los formatos integrados de trámites, OPAS y consultas en el SUIT:
 Inventario Trámites y OPA A"&amp;"lcaldía: 
 https://docs.google.com/spreadsheets/d/14AkkI-X0Wn-DFyt0zhvKqyc4XxgQRo5B/edit?usp=sharing&amp;ouid=109371799095710558491&amp;rtpof=true&amp;sd=true
 Inventario Ciclo 1: Secretaría de Cultura, Jurídica y Vivienda Social: https://docs.google.com/spreadsh"&amp;"eets/d/1SVYwHi6XSse0Gb6IlxxHqQt_BnDyw-fe/edit?usp=sharing&amp;ouid=109371799095710558491&amp;rtpof=true&amp;sd=true
 Trámites y OPAS en el SUIT: https://www.funcionpublica.gov.co/web/suit/buscadortramites?_com_liferay_iframe_web_portlet_IFramePortlet_INSTANCE_MLk"&amp;"B2d7OVwPr_iframe_query=PEREIRA&amp;x=0&amp;y=0&amp;p_p_id=com_liferay_iframe_web_portlet_IFramePortlet_INSTANCE_MLkB2d7OVwPr&amp;_com_liferay_iframe_web_portlet_IFramePortlet_INSTANCE_MLkB2d7OVwPr_iframe_find=FindNextr")</f>
        <v>Se cuenta con la actualización del Inventario de trámites y OPAS del ciclo 1 de racionalización que se encuentra en ejecución y se actualiza la información de los formatos integrados de trámites, OPAS y consultas en el SUIT:
 Inventario Trámites y OPA Alcaldía: 
 https://docs.google.com/spreadsheets/d/14AkkI-X0Wn-DFyt0zhvKqyc4XxgQRo5B/edit?usp=sharing&amp;ouid=109371799095710558491&amp;rtpof=true&amp;sd=true
 Inventario Ciclo 1: Secretaría de Cultura, Jurídica y Vivienda Social: https://docs.google.com/spreadsheets/d/1SVYwHi6XSse0Gb6IlxxHqQt_BnDyw-fe/edit?usp=sharing&amp;ouid=109371799095710558491&amp;rtpof=true&amp;sd=true
 Trámites y OPAS en el SUIT: https://www.funcionpublica.gov.co/web/suit/buscadortramites?_com_liferay_iframe_web_portlet_IFramePortlet_INSTANCE_MLkB2d7OVwPr_iframe_query=PEREIRA&amp;x=0&amp;y=0&amp;p_p_id=com_liferay_iframe_web_portlet_IFramePortlet_INSTANCE_MLkB2d7OVwPr&amp;_com_liferay_iframe_web_portlet_IFramePortlet_INSTANCE_MLkB2d7OVwPr_iframe_find=FindNextr</v>
      </c>
      <c r="K192" s="11">
        <f ca="1">IFERROR(__xludf.DUMMYFUNCTION("""COMPUTED_VALUE"""),44650)</f>
        <v>44650</v>
      </c>
      <c r="L192" s="12"/>
      <c r="M192" s="10" t="str">
        <f ca="1">IFERROR(__xludf.DUMMYFUNCTION("""COMPUTED_VALUE"""),"Actas del Comité de Racionalización Ciclo 1 Secretarías de Cultura, Jurídica y Vivienda Social
 https://drive.google.com/drive/folders/1h2pvHmDH-ItNFj-I8OLHeVdiJXUVJEml?usp=sharing")</f>
        <v>Actas del Comité de Racionalización Ciclo 1 Secretarías de Cultura, Jurídica y Vivienda Social
 https://drive.google.com/drive/folders/1h2pvHmDH-ItNFj-I8OLHeVdiJXUVJEml?usp=sharing</v>
      </c>
      <c r="N192" s="11">
        <f ca="1">IFERROR(__xludf.DUMMYFUNCTION("""COMPUTED_VALUE"""),44742)</f>
        <v>44742</v>
      </c>
      <c r="O192" s="12">
        <f ca="1">IFERROR(__xludf.DUMMYFUNCTION("""COMPUTED_VALUE"""),0.8)</f>
        <v>0.8</v>
      </c>
      <c r="P192" s="10" t="str">
        <f ca="1">IFERROR(__xludf.DUMMYFUNCTION("""COMPUTED_VALUE"""),"Actas del Comité de Racionalización Ciclo 1 Secretarías de Cultura, Jurídica y Vivienda Social
 https://drive.google.com/drive/folders/1h2pvHmDH-ItNFj-I8OLHeVdiJXUVJEml?usp=sharing
 Actas del Comité de Racionalización Ciclo 2 Secretarías de Desarrollo"&amp;" Económico y Competitividad
 https://drive.google.com/drive/folders/1j_4iKw1WAWWljMVvIN14WKNOFv0A7Uw6?usp=sharing")</f>
        <v>Actas del Comité de Racionalización Ciclo 1 Secretarías de Cultura, Jurídica y Vivienda Social
 https://drive.google.com/drive/folders/1h2pvHmDH-ItNFj-I8OLHeVdiJXUVJEml?usp=sharing
 Actas del Comité de Racionalización Ciclo 2 Secretarías de Desarrollo Económico y Competitividad
 https://drive.google.com/drive/folders/1j_4iKw1WAWWljMVvIN14WKNOFv0A7Uw6?usp=sharing</v>
      </c>
      <c r="Q192" s="11">
        <f ca="1">IFERROR(__xludf.DUMMYFUNCTION("""COMPUTED_VALUE"""),44834)</f>
        <v>44834</v>
      </c>
      <c r="R192" s="12">
        <f ca="1">IFERROR(__xludf.DUMMYFUNCTION("""COMPUTED_VALUE"""),1)</f>
        <v>1</v>
      </c>
      <c r="S192" s="10" t="str">
        <f ca="1">IFERROR(__xludf.DUMMYFUNCTION("""COMPUTED_VALUE"""),"Actas del Comité de Racionalización Ciclo 1 Secretarías de Cultura, Jurídica y Vivienda Social
 https://drive.google.com/drive/folders/1h2pvHmDH-ItNFj-I8OLHeVdiJXUVJEml?usp=sharing
 Actas del Comité de Racionalización Ciclo 2 Secretarías de Desarrollo"&amp;" Económico y Competitividad
 https://drive.google.com/drive/folders/1j_4iKw1WAWWljMVvIN14WKNOFv0A7Uw6?usp=sharing
 Actas del Comité de Racionalización Ciclo 3 Secretaría de Gestión Administrativa
 https://drive.google.com/drive/folders/1kb4nlYs5LopV"&amp;"MaDzbhhOEvELPvRHZGZ5?usp=share_link")</f>
        <v>Actas del Comité de Racionalización Ciclo 1 Secretarías de Cultura, Jurídica y Vivienda Social
 https://drive.google.com/drive/folders/1h2pvHmDH-ItNFj-I8OLHeVdiJXUVJEml?usp=sharing
 Actas del Comité de Racionalización Ciclo 2 Secretarías de Desarrollo Económico y Competitividad
 https://drive.google.com/drive/folders/1j_4iKw1WAWWljMVvIN14WKNOFv0A7Uw6?usp=sharing
 Actas del Comité de Racionalización Ciclo 3 Secretaría de Gestión Administrativa
 https://drive.google.com/drive/folders/1kb4nlYs5LopVMaDzbhhOEvELPvRHZGZ5?usp=share_link</v>
      </c>
      <c r="T192" s="11">
        <f ca="1">IFERROR(__xludf.DUMMYFUNCTION("""COMPUTED_VALUE"""),44926)</f>
        <v>44926</v>
      </c>
      <c r="U192" s="10"/>
    </row>
    <row r="193" spans="1:21" ht="409.5" x14ac:dyDescent="0.2">
      <c r="A193" s="10" t="str">
        <f ca="1">IFERROR(__xludf.DUMMYFUNCTION("""COMPUTED_VALUE"""),"Gestión con valores para resultados")</f>
        <v>Gestión con valores para resultados</v>
      </c>
      <c r="B193" s="10" t="str">
        <f ca="1">IFERROR(__xludf.DUMMYFUNCTION("""COMPUTED_VALUE"""),"Racionalización de Trámites")</f>
        <v>Racionalización de Trámites</v>
      </c>
      <c r="C193" s="10" t="str">
        <f ca="1">IFERROR(__xludf.DUMMYFUNCTION("""COMPUTED_VALUE"""),"Registrar en el SUIT los Trámites y Otros Procedimientos Administrativos (OPA), identificados en los Ciclos de Racionalización.")</f>
        <v>Registrar en el SUIT los Trámites y Otros Procedimientos Administrativos (OPA), identificados en los Ciclos de Racionalización.</v>
      </c>
      <c r="D193" s="10" t="str">
        <f ca="1">IFERROR(__xludf.DUMMYFUNCTION("""COMPUTED_VALUE"""),"Trámites y Otros Procedimientos Administrativos registrados SUIT")</f>
        <v>Trámites y Otros Procedimientos Administrativos registrados SUIT</v>
      </c>
      <c r="E193" s="10" t="str">
        <f ca="1">IFERROR(__xludf.DUMMYFUNCTION("""COMPUTED_VALUE"""),"100% de Trámites y OPA registrados al SUIT de acuerdo al Ciclo de Racionalización")</f>
        <v>100% de Trámites y OPA registrados al SUIT de acuerdo al Ciclo de Racionalización</v>
      </c>
      <c r="F193" s="11">
        <f ca="1">IFERROR(__xludf.DUMMYFUNCTION("""COMPUTED_VALUE"""),44593)</f>
        <v>44593</v>
      </c>
      <c r="G193" s="11"/>
      <c r="H193"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3" s="12"/>
      <c r="J193" s="10" t="str">
        <f ca="1">IFERROR(__xludf.DUMMYFUNCTION("""COMPUTED_VALUE"""),"Se cuenta con un reporte de Datos de Operación, que permite evidenciar la frecuencia de solicitud por trámite y por periodo. La información se encuentra en el siguiente archivo: 
 Datos de operación: https://docs.google.com/spreadsheets/d/1lzXxH-_mZtJ"&amp;"mHYm2pTR4KPXGam6m3faM/edit?usp=sharing&amp;ouid=109371799095710558491&amp;rtpof=true&amp;sd=true")</f>
        <v>Se cuenta con un reporte de Datos de Operación, que permite evidenciar la frecuencia de solicitud por trámite y por periodo. La información se encuentra en el siguiente archivo: 
 Datos de operación: https://docs.google.com/spreadsheets/d/1lzXxH-_mZtJmHYm2pTR4KPXGam6m3faM/edit?usp=sharing&amp;ouid=109371799095710558491&amp;rtpof=true&amp;sd=true</v>
      </c>
      <c r="K193" s="11">
        <f ca="1">IFERROR(__xludf.DUMMYFUNCTION("""COMPUTED_VALUE"""),44650)</f>
        <v>44650</v>
      </c>
      <c r="L193" s="12">
        <f ca="1">IFERROR(__xludf.DUMMYFUNCTION("""COMPUTED_VALUE"""),0.5)</f>
        <v>0.5</v>
      </c>
      <c r="M193" s="10" t="str">
        <f ca="1">IFERROR(__xludf.DUMMYFUNCTION("""COMPUTED_VALUE"""),"Se cuenta con la actualización del Inventario de trámites y OPAS del ciclo 1 de racionalización que se encuentra en ejecución y se actualiza la información de los formatos integrados de trámites, OPAS y consultas en el SUIT:
 Inventario Trámites y OPA A"&amp;"lcaldía: 
 https://docs.google.com/spreadsheets/d/14AkkI-X0Wn-DFyt0zhvKqyc4XxgQRo5B/edit?usp=sharing&amp;ouid=109371799095710558491&amp;rtpof=true&amp;sd=true
 Inventario Ciclo 1: Secretaría de Cultura, Jurídica y Vivienda Social: https://docs.google.com/spreadsh"&amp;"eets/d/1SVYwHi6XSse0Gb6IlxxHqQt_BnDyw-fe/edit?usp=sharing&amp;ouid=109371799095710558491&amp;rtpof=true&amp;sd=true
 Trámites y OPAS en el SUIT: https://www.funcionpublica.gov.co/web/suit/buscadortramites?_com_liferay_iframe_web_portlet_IFramePortlet_INSTANCE_MLk"&amp;"B2d7OVwPr_iframe_query=PEREIRA&amp;x=0&amp;y=0&amp;p_p_id=com_liferay_iframe_web_portlet_IFramePortlet_INSTANCE_MLkB2d7OVwPr&amp;_com_liferay_iframe_web_portlet_IFramePortlet_INSTANCE_MLkB2d7OVwPr_iframe_find=FindNextr")</f>
        <v>Se cuenta con la actualización del Inventario de trámites y OPAS del ciclo 1 de racionalización que se encuentra en ejecución y se actualiza la información de los formatos integrados de trámites, OPAS y consultas en el SUIT:
 Inventario Trámites y OPA Alcaldía: 
 https://docs.google.com/spreadsheets/d/14AkkI-X0Wn-DFyt0zhvKqyc4XxgQRo5B/edit?usp=sharing&amp;ouid=109371799095710558491&amp;rtpof=true&amp;sd=true
 Inventario Ciclo 1: Secretaría de Cultura, Jurídica y Vivienda Social: https://docs.google.com/spreadsheets/d/1SVYwHi6XSse0Gb6IlxxHqQt_BnDyw-fe/edit?usp=sharing&amp;ouid=109371799095710558491&amp;rtpof=true&amp;sd=true
 Trámites y OPAS en el SUIT: https://www.funcionpublica.gov.co/web/suit/buscadortramites?_com_liferay_iframe_web_portlet_IFramePortlet_INSTANCE_MLkB2d7OVwPr_iframe_query=PEREIRA&amp;x=0&amp;y=0&amp;p_p_id=com_liferay_iframe_web_portlet_IFramePortlet_INSTANCE_MLkB2d7OVwPr&amp;_com_liferay_iframe_web_portlet_IFramePortlet_INSTANCE_MLkB2d7OVwPr_iframe_find=FindNextr</v>
      </c>
      <c r="N193" s="11">
        <f ca="1">IFERROR(__xludf.DUMMYFUNCTION("""COMPUTED_VALUE"""),44742)</f>
        <v>44742</v>
      </c>
      <c r="O193" s="12">
        <f ca="1">IFERROR(__xludf.DUMMYFUNCTION("""COMPUTED_VALUE"""),0.7)</f>
        <v>0.7</v>
      </c>
      <c r="P193" s="10" t="str">
        <f ca="1">IFERROR(__xludf.DUMMYFUNCTION("""COMPUTED_VALUE"""),"Se cuenta con la actualización del Inventario de trámites y OPAS del ciclo 1 y 2 de racionalización y se actualiza la información de los formatos integrados de trámites, OPAS y consultas en el SUIT:
 Inventario Trámites y OPA Alcaldía: 
 https://docs.go"&amp;"ogle.com/spreadsheets/d/14AkkI-X0Wn-DFyt0zhvKqyc4XxgQRo5B/edit?usp=sharing&amp;ouid=109371799095710558491&amp;rtpof=true&amp;sd=true
 Inventario Ciclo 1: Secretaría de Cultura, Jurídica y Vivienda Social: https://docs.google.com/spreadsheets/d/1SVYwHi6XSse0Gb6Ilx"&amp;"xHqQt_BnDyw-fe/edit?usp=sharing&amp;ouid=109371799095710558491&amp;rtpof=true&amp;sd=true
 Inventario Ciclo 2: Secretaría de Desarrollo Económico y Competitividad. https://drive.google.com/drive/folders/14-qDwl7x7eOF9zpDIrLQdhrZcfjDSonT?usp=sharing
 Trámites y OP"&amp;"AS en el SUIT: https://www.funcionpublica.gov.co/web/suit/buscadortramites?_com_liferay_iframe_web_portlet_IFramePortlet_INSTANCE_MLkB2d7OVwPr_iframe_query=PEREIRA&amp;x=0&amp;y=0&amp;p_p_id=com_liferay_iframe_web_portlet_IFramePortlet_INSTANCE_MLkB2d7OVwPr&amp;_com_life"&amp;"ray_iframe_web_portlet_IFramePortlet_INSTANCE_MLkB2d7OVwPr_iframe_find=FindNextr")</f>
        <v>Se cuenta con la actualización del Inventario de trámites y OPAS del ciclo 1 y 2 de racionalización y se actualiza la información de los formatos integrados de trámites, OPAS y consultas en el SUIT:
 Inventario Trámites y OPA Alcaldía: 
 https://docs.google.com/spreadsheets/d/14AkkI-X0Wn-DFyt0zhvKqyc4XxgQRo5B/edit?usp=sharing&amp;ouid=109371799095710558491&amp;rtpof=true&amp;sd=true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Trámites y OPAS en el SUIT: https://www.funcionpublica.gov.co/web/suit/buscadortramites?_com_liferay_iframe_web_portlet_IFramePortlet_INSTANCE_MLkB2d7OVwPr_iframe_query=PEREIRA&amp;x=0&amp;y=0&amp;p_p_id=com_liferay_iframe_web_portlet_IFramePortlet_INSTANCE_MLkB2d7OVwPr&amp;_com_liferay_iframe_web_portlet_IFramePortlet_INSTANCE_MLkB2d7OVwPr_iframe_find=FindNextr</v>
      </c>
      <c r="Q193" s="11">
        <f ca="1">IFERROR(__xludf.DUMMYFUNCTION("""COMPUTED_VALUE"""),44834)</f>
        <v>44834</v>
      </c>
      <c r="R193" s="12">
        <f ca="1">IFERROR(__xludf.DUMMYFUNCTION("""COMPUTED_VALUE"""),1)</f>
        <v>1</v>
      </c>
      <c r="S193" s="10" t="str">
        <f ca="1">IFERROR(__xludf.DUMMYFUNCTION("""COMPUTED_VALUE"""),"""Se cuenta con la actualización del Inventario de trámites y OPAS del ciclo 1, 2 y 3 de racionalización y se actualiza la información de los formatos integrados de trámites, OPAS y consultas en el SUIT:
 Inventario Trámites y OPA Alcaldía: 
 https://do"&amp;"cs.google.com/spreadsheets/d/14AkkI-X0Wn-DFyt0zhvKqyc4XxgQRo5B/edit?usp=sharing&amp;ouid=109371799095710558491&amp;rtpof=true&amp;sd=true
 Inventario Ciclo 1: Secretaría de Cultura, Jurídica y Vivienda Social: https://docs.google.com/spreadsheets/d/1SVYwHi6XSse0Gb6"&amp;"IlxxHqQt_BnDyw-fe/edit?usp=sharing&amp;ouid=109371799095710558491&amp;rtpof=true&amp;sd=true
 Inventario Ciclo 2: Secretaría de Desarrollo Económico y Competitividad. https://drive.google.com/drive/folders/14-qDwl7x7eOF9zpDIrLQdhrZcfjDSonT?usp=sharing
 Inventario"&amp;" Ciclo 3: Secretaría de Gestión Administrativa: https://docs.google.com/spreadsheets/d/1XqjYW1cuSUq7vPpfgpHlC8No3Yp2-rtg/edit?usp=share_link&amp;ouid=109371799095710558491&amp;rtpof=true&amp;sd=true
 Trámites y OPAS en el SUIT: https://www.funcionpublica.gov.co/web"&amp;"/suit/buscadortramites?_com_liferay_iframe_web_portlet_IFramePortlet_INSTANCE_MLkB2d7OVwPr_iframe_query=PEREIRA&amp;x=0&amp;y=0&amp;p_p_id=com_liferay_iframe_web_portlet_IFramePortlet_INSTANCE_MLkB2d7OVwPr&amp;_com_liferay_iframe_web_portlet_IFramePortlet_INSTANCE_MLkB2d"&amp;"7OVwPr_iframe_find=FindNextr""")</f>
        <v>"Se cuenta con la actualización del Inventario de trámites y OPAS del ciclo 1, 2 y 3 de racionalización y se actualiza la información de los formatos integrados de trámites, OPAS y consultas en el SUIT:
 Inventario Trámites y OPA Alcaldía: 
 https://docs.google.com/spreadsheets/d/14AkkI-X0Wn-DFyt0zhvKqyc4XxgQRo5B/edit?usp=sharing&amp;ouid=109371799095710558491&amp;rtpof=true&amp;sd=true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https://docs.google.com/spreadsheets/d/1XqjYW1cuSUq7vPpfgpHlC8No3Yp2-rtg/edit?usp=share_link&amp;ouid=109371799095710558491&amp;rtpof=true&amp;sd=true
 Trámites y OPAS en el SUIT: https://www.funcionpublica.gov.co/web/suit/buscadortramites?_com_liferay_iframe_web_portlet_IFramePortlet_INSTANCE_MLkB2d7OVwPr_iframe_query=PEREIRA&amp;x=0&amp;y=0&amp;p_p_id=com_liferay_iframe_web_portlet_IFramePortlet_INSTANCE_MLkB2d7OVwPr&amp;_com_liferay_iframe_web_portlet_IFramePortlet_INSTANCE_MLkB2d7OVwPr_iframe_find=FindNextr"</v>
      </c>
      <c r="T193" s="11">
        <f ca="1">IFERROR(__xludf.DUMMYFUNCTION("""COMPUTED_VALUE"""),44926)</f>
        <v>44926</v>
      </c>
      <c r="U193" s="10"/>
    </row>
    <row r="194" spans="1:21" ht="408" x14ac:dyDescent="0.2">
      <c r="A194" s="10" t="str">
        <f ca="1">IFERROR(__xludf.DUMMYFUNCTION("""COMPUTED_VALUE"""),"Gestión con valores para resultados")</f>
        <v>Gestión con valores para resultados</v>
      </c>
      <c r="B194" s="10" t="str">
        <f ca="1">IFERROR(__xludf.DUMMYFUNCTION("""COMPUTED_VALUE"""),"Racionalización de Trámites")</f>
        <v>Racionalización de Trámites</v>
      </c>
      <c r="C194" s="10" t="str">
        <f ca="1">IFERROR(__xludf.DUMMYFUNCTION("""COMPUTED_VALUE"""),"Analizar los trámites con mayor frecuencia de solicitud o volúmenes de atención en el o los procesos incluidos en los Ciclos de Racionalización")</f>
        <v>Analizar los trámites con mayor frecuencia de solicitud o volúmenes de atención en el o los procesos incluidos en los Ciclos de Racionalización</v>
      </c>
      <c r="D194" s="10" t="str">
        <f ca="1">IFERROR(__xludf.DUMMYFUNCTION("""COMPUTED_VALUE"""),"Inventario actualizado de los trámites y/o servicios correspondientes a los Ciclos de Racionalización, priorizado por frecuencia de solicitud")</f>
        <v>Inventario actualizado de los trámites y/o servicios correspondientes a los Ciclos de Racionalización, priorizado por frecuencia de solicitud</v>
      </c>
      <c r="E194" s="10" t="str">
        <f ca="1">IFERROR(__xludf.DUMMYFUNCTION("""COMPUTED_VALUE"""),"100% Inventario de Trámites y OPA actualizado y priorizado por Ciclo de Racionalización")</f>
        <v>100% Inventario de Trámites y OPA actualizado y priorizado por Ciclo de Racionalización</v>
      </c>
      <c r="F194" s="11">
        <f ca="1">IFERROR(__xludf.DUMMYFUNCTION("""COMPUTED_VALUE"""),44593)</f>
        <v>44593</v>
      </c>
      <c r="G194" s="11"/>
      <c r="H194"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4" s="12">
        <f ca="1">IFERROR(__xludf.DUMMYFUNCTION("""COMPUTED_VALUE"""),0.3)</f>
        <v>0.3</v>
      </c>
      <c r="J194" s="10" t="str">
        <f ca="1">IFERROR(__xludf.DUMMYFUNCTION("""COMPUTED_VALUE"""),"Se clasifican los trámites por tiempo de respuesta, donde se puede analizar que los trámites que requieren menor tiempo de respuesta son los que obedecen a pagos y consultas de información pública. La información se encuentra en el siguiente archivo: 
 "&amp;"Matriz de trámites por tiempo de duración: https://docs.google.com/spreadsheets/d/1f7nChJFU3cw-XptlvTcnQaaopDQoyDfb/edit?usp=sharing&amp;ouid=109371799095710558491&amp;rtpof=true&amp;sd=true")</f>
        <v>Se clasifican los trámites por tiempo de respuesta, donde se puede analizar que los trámites que requieren menor tiempo de respuesta son los que obedecen a pagos y consultas de información pública. La información se encuentra en el siguiente archivo: 
 Matriz de trámites por tiempo de duración: https://docs.google.com/spreadsheets/d/1f7nChJFU3cw-XptlvTcnQaaopDQoyDfb/edit?usp=sharing&amp;ouid=109371799095710558491&amp;rtpof=true&amp;sd=true</v>
      </c>
      <c r="K194" s="11">
        <f ca="1">IFERROR(__xludf.DUMMYFUNCTION("""COMPUTED_VALUE"""),44650)</f>
        <v>44650</v>
      </c>
      <c r="L194" s="12"/>
      <c r="M194" s="10" t="str">
        <f ca="1">IFERROR(__xludf.DUMMYFUNCTION("""COMPUTED_VALUE"""),"Se cuenta con un reporte de Datos de Operación, que permite evidenciar la frecuencia de solicitud por trámite y por periodo. La información se encuentra en el siguiente archivo: 
 Datos de operación: 
 https://drive.google.com/drive/folders/1USWv5ZiYfBI"&amp;"3_-uXmxsZlSHmzwl0WGya?usp=sharing")</f>
        <v>Se cuenta con un reporte de Datos de Operación, que permite evidenciar la frecuencia de solicitud por trámite y por periodo. La información se encuentra en el siguiente archivo: 
 Datos de operación: 
 https://drive.google.com/drive/folders/1USWv5ZiYfBI3_-uXmxsZlSHmzwl0WGya?usp=sharing</v>
      </c>
      <c r="N194" s="11">
        <f ca="1">IFERROR(__xludf.DUMMYFUNCTION("""COMPUTED_VALUE"""),44742)</f>
        <v>44742</v>
      </c>
      <c r="O194" s="12">
        <f ca="1">IFERROR(__xludf.DUMMYFUNCTION("""COMPUTED_VALUE"""),0.8)</f>
        <v>0.8</v>
      </c>
      <c r="P194" s="10" t="str">
        <f ca="1">IFERROR(__xludf.DUMMYFUNCTION("""COMPUTED_VALUE"""),"Se cuenta con un reporte de Datos de Operación, que permite evidenciar la frecuencia de solicitud por trámite y por periodo. La información se encuentra en el siguiente archivo: 
 Datos de operación: https://drive.google.com/drive/folders/14-qDwl7x7eOF9"&amp;"zpDIrLQdhrZcfjDSonT?usp=sharing")</f>
        <v>Se cuenta con un reporte de Datos de Operación, que permite evidenciar la frecuencia de solicitud por trámite y por periodo. La información se encuentra en el siguiente archivo: 
 Datos de operación: https://drive.google.com/drive/folders/14-qDwl7x7eOF9zpDIrLQdhrZcfjDSonT?usp=sharing</v>
      </c>
      <c r="Q194" s="11">
        <f ca="1">IFERROR(__xludf.DUMMYFUNCTION("""COMPUTED_VALUE"""),44834)</f>
        <v>44834</v>
      </c>
      <c r="R194" s="12">
        <f ca="1">IFERROR(__xludf.DUMMYFUNCTION("""COMPUTED_VALUE"""),1)</f>
        <v>1</v>
      </c>
      <c r="S194" s="10" t="str">
        <f ca="1">IFERROR(__xludf.DUMMYFUNCTION("""COMPUTED_VALUE"""),"Se cuenta con un reporte de Datos de Operación, que permite evidenciar la frecuencia de solicitud por trámite y por periodo. La información se encuentra en el siguiente archivo: 
 Datos de operación: https://docs.google.com/spreadsheets/d/1JWD-R8jNj2q4-"&amp;"F-6VRme_GSFbTcPnaxZ/edit?usp=share_link&amp;ouid=109371799095710558491&amp;rtpof=true&amp;sd=true")</f>
        <v>Se cuenta con un reporte de Datos de Operación, que permite evidenciar la frecuencia de solicitud por trámite y por periodo. La información se encuentra en el siguiente archivo: 
 Datos de operación: https://docs.google.com/spreadsheets/d/1JWD-R8jNj2q4-F-6VRme_GSFbTcPnaxZ/edit?usp=share_link&amp;ouid=109371799095710558491&amp;rtpof=true&amp;sd=true</v>
      </c>
      <c r="T194" s="11">
        <f ca="1">IFERROR(__xludf.DUMMYFUNCTION("""COMPUTED_VALUE"""),44926)</f>
        <v>44926</v>
      </c>
      <c r="U194" s="10"/>
    </row>
    <row r="195" spans="1:21" ht="409.5" x14ac:dyDescent="0.2">
      <c r="A195" s="10" t="str">
        <f ca="1">IFERROR(__xludf.DUMMYFUNCTION("""COMPUTED_VALUE"""),"Gestión con valores para resultados")</f>
        <v>Gestión con valores para resultados</v>
      </c>
      <c r="B195" s="10" t="str">
        <f ca="1">IFERROR(__xludf.DUMMYFUNCTION("""COMPUTED_VALUE"""),"Racionalización de Trámites")</f>
        <v>Racionalización de Trámites</v>
      </c>
      <c r="C195" s="10" t="str">
        <f ca="1">IFERROR(__xludf.DUMMYFUNCTION("""COMPUTED_VALUE"""),"Analizar los trámites con mayor tiempo de respuesta por parte de la entidad encontrados en los Ciclos de Racionalización")</f>
        <v>Analizar los trámites con mayor tiempo de respuesta por parte de la entidad encontrados en los Ciclos de Racionalización</v>
      </c>
      <c r="D195" s="10" t="str">
        <f ca="1">IFERROR(__xludf.DUMMYFUNCTION("""COMPUTED_VALUE"""),"Inventario actualizado priorizado por tiempo de atención de los trámites y/o servicios correspondientes a los Ciclos de Racionalización")</f>
        <v>Inventario actualizado priorizado por tiempo de atención de los trámites y/o servicios correspondientes a los Ciclos de Racionalización</v>
      </c>
      <c r="E195" s="10" t="str">
        <f ca="1">IFERROR(__xludf.DUMMYFUNCTION("""COMPUTED_VALUE"""),"100% Inventario de Trámites y OPA actualizado y priorizado por Ciclo de Racionalización")</f>
        <v>100% Inventario de Trámites y OPA actualizado y priorizado por Ciclo de Racionalización</v>
      </c>
      <c r="F195" s="11">
        <f ca="1">IFERROR(__xludf.DUMMYFUNCTION("""COMPUTED_VALUE"""),44593)</f>
        <v>44593</v>
      </c>
      <c r="G195" s="11"/>
      <c r="H195"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5" s="12"/>
      <c r="J195" s="10" t="str">
        <f ca="1">IFERROR(__xludf.DUMMYFUNCTION("""COMPUTED_VALUE"""),"Se cuenta con el Inventario de trámites, recopilado en el ciclo 1 de racionalización que permite evidenciar que ninguno de los trámites facilitan la implementación del Acuerdo de Paz. La información se encuentra en los archivos: 
 Inventario Ciclo 1: Se"&amp;"cretaría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que ninguno de los trámites facilitan la implementación del Acuerdo de Paz. La información se encuentra en los archivos: 
 Inventario Ciclo 1: Secretaría de Cultura, Jurídica y Vivienda Social
 https://docs.google.com/spreadsheets/d/1SVYwHi6XSse0Gb6IlxxHqQt_BnDyw-fe/edit?usp=sharing&amp;ouid=109371799095710558491&amp;rtpof=true&amp;sd=true</v>
      </c>
      <c r="K195" s="11">
        <f ca="1">IFERROR(__xludf.DUMMYFUNCTION("""COMPUTED_VALUE"""),44650)</f>
        <v>44650</v>
      </c>
      <c r="L195" s="12">
        <f ca="1">IFERROR(__xludf.DUMMYFUNCTION("""COMPUTED_VALUE"""),0.6)</f>
        <v>0.6</v>
      </c>
      <c r="M195" s="10" t="str">
        <f ca="1">IFERROR(__xludf.DUMMYFUNCTION("""COMPUTED_VALUE"""),"Se clasifican los trámites por tiempo de respuesta, donde se puede analizar que los trámites que requieren menor tiempo de respuesta son los que obedecen a pagos y consultas de información pública. La información se encuentra en el siguiente archivo: 
 "&amp;"Matriz de trámites por tiempo de duración: https://docs.google.com/spreadsheets/d/1f7nChJFU3cw-XptlvTcnQaaopDQoyDfb/edit?usp=sharing&amp;ouid=109371799095710558491&amp;rtpof=true&amp;sd=true")</f>
        <v>Se clasifican los trámites por tiempo de respuesta, donde se puede analizar que los trámites que requieren menor tiempo de respuesta son los que obedecen a pagos y consultas de información pública. La información se encuentra en el siguiente archivo: 
 Matriz de trámites por tiempo de duración: https://docs.google.com/spreadsheets/d/1f7nChJFU3cw-XptlvTcnQaaopDQoyDfb/edit?usp=sharing&amp;ouid=109371799095710558491&amp;rtpof=true&amp;sd=true</v>
      </c>
      <c r="N195" s="11">
        <f ca="1">IFERROR(__xludf.DUMMYFUNCTION("""COMPUTED_VALUE"""),44742)</f>
        <v>44742</v>
      </c>
      <c r="O195" s="12">
        <f ca="1">IFERROR(__xludf.DUMMYFUNCTION("""COMPUTED_VALUE"""),0.8)</f>
        <v>0.8</v>
      </c>
      <c r="P195" s="10" t="str">
        <f ca="1">IFERROR(__xludf.DUMMYFUNCTION("""COMPUTED_VALUE"""),"Se clasifican los trámites por tiempo de respuesta, donde se puede analizar que los trámites que requieren menor tiempo de respuesta son los que obedecen a pagos y consultas de información pública. La información se encuentra en el siguiente archivo: 
 "&amp;"Matriz de trámites por tiempo de duración: https://drive.google.com/drive/folders/14-qDwl7x7eOF9zpDIrLQdhrZcfjDSonT?usp=sharing")</f>
        <v>Se clasifican los trámites por tiempo de respuesta, donde se puede analizar que los trámites que requieren menor tiempo de respuesta son los que obedecen a pagos y consultas de información pública. La información se encuentra en el siguiente archivo: 
 Matriz de trámites por tiempo de duración: https://drive.google.com/drive/folders/14-qDwl7x7eOF9zpDIrLQdhrZcfjDSonT?usp=sharing</v>
      </c>
      <c r="Q195" s="11">
        <f ca="1">IFERROR(__xludf.DUMMYFUNCTION("""COMPUTED_VALUE"""),44834)</f>
        <v>44834</v>
      </c>
      <c r="R195" s="12">
        <f ca="1">IFERROR(__xludf.DUMMYFUNCTION("""COMPUTED_VALUE"""),1)</f>
        <v>1</v>
      </c>
      <c r="S195" s="10" t="str">
        <f ca="1">IFERROR(__xludf.DUMMYFUNCTION("""COMPUTED_VALUE"""),"Se clasifican los trámites por tiempo de respuesta, donde se puede analizar que los trámites que requieren menor tiempo de respuesta son los que obedecen a pagos y consultas de información pública. La información se encuentra en el siguiente archivo: 
 "&amp;"Matriz de trámites por tiempo de duración: https://drive.google.com/drive/folders/14-qDwl7x7eOF9zpDIrLQdhrZcfjDSonT?usp=sharing")</f>
        <v>Se clasifican los trámites por tiempo de respuesta, donde se puede analizar que los trámites que requieren menor tiempo de respuesta son los que obedecen a pagos y consultas de información pública. La información se encuentra en el siguiente archivo: 
 Matriz de trámites por tiempo de duración: https://drive.google.com/drive/folders/14-qDwl7x7eOF9zpDIrLQdhrZcfjDSonT?usp=sharing</v>
      </c>
      <c r="T195" s="11">
        <f ca="1">IFERROR(__xludf.DUMMYFUNCTION("""COMPUTED_VALUE"""),44926)</f>
        <v>44926</v>
      </c>
      <c r="U195" s="10"/>
    </row>
    <row r="196" spans="1:21" ht="409.5" x14ac:dyDescent="0.2">
      <c r="A196" s="10" t="str">
        <f ca="1">IFERROR(__xludf.DUMMYFUNCTION("""COMPUTED_VALUE"""),"Gestión con valores para resultados")</f>
        <v>Gestión con valores para resultados</v>
      </c>
      <c r="B196" s="10" t="str">
        <f ca="1">IFERROR(__xludf.DUMMYFUNCTION("""COMPUTED_VALUE"""),"Racionalización de Trámites")</f>
        <v>Racionalización de Trámites</v>
      </c>
      <c r="C196" s="10" t="str">
        <f ca="1">IFERROR(__xludf.DUMMYFUNCTION("""COMPUTED_VALUE"""),"Identificar trámites que facilitan la implementación del Acuerdo de Paz en el o los Procesos incluidos en los Ciclos de Racionalización")</f>
        <v>Identificar trámites que facilitan la implementación del Acuerdo de Paz en el o los Procesos incluidos en los Ciclos de Racionalización</v>
      </c>
      <c r="D196" s="10" t="str">
        <f ca="1">IFERROR(__xludf.DUMMYFUNCTION("""COMPUTED_VALUE"""),"Inventario actualizado de los trámites y/o servicios que facilitan los acuerdos de paz, correspondientes a los Ciclos de Racionalización")</f>
        <v>Inventario actualizado de los trámites y/o servicios que facilitan los acuerdos de paz, correspondientes a los Ciclos de Racionalización</v>
      </c>
      <c r="E196" s="10" t="str">
        <f ca="1">IFERROR(__xludf.DUMMYFUNCTION("""COMPUTED_VALUE"""),"100% Inventario de Trámites y OPA actualizado por Ciclo de Racionalización")</f>
        <v>100% Inventario de Trámites y OPA actualizado por Ciclo de Racionalización</v>
      </c>
      <c r="F196" s="11">
        <f ca="1">IFERROR(__xludf.DUMMYFUNCTION("""COMPUTED_VALUE"""),44593)</f>
        <v>44593</v>
      </c>
      <c r="G196" s="11"/>
      <c r="H196"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6" s="12"/>
      <c r="J196" s="10" t="str">
        <f ca="1">IFERROR(__xludf.DUMMYFUNCTION("""COMPUTED_VALUE"""),"Se cuenta con el Inventario de trámites, recopilado en el ciclo 1 de racionalización que permite evidenciar los trámites que están relacionados con las metas del Plan de Desarrollo. La información se encuentra en los archivos: 
 Inventario Ciclo 1: Secr"&amp;"etaría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los trámites que están relacionados con las metas del Plan de Desarrollo. La información se encuentra en los archivos: 
 Inventario Ciclo 1: Secretaría de Cultura, Jurídica y Vivienda Social
 https://docs.google.com/spreadsheets/d/1SVYwHi6XSse0Gb6IlxxHqQt_BnDyw-fe/edit?usp=sharing&amp;ouid=109371799095710558491&amp;rtpof=true&amp;sd=true</v>
      </c>
      <c r="K196" s="11">
        <f ca="1">IFERROR(__xludf.DUMMYFUNCTION("""COMPUTED_VALUE"""),44650)</f>
        <v>44650</v>
      </c>
      <c r="L196" s="12"/>
      <c r="M196" s="10" t="str">
        <f ca="1">IFERROR(__xludf.DUMMYFUNCTION("""COMPUTED_VALUE"""),"Se cuenta con el Inventario de trámites, recopilado en el ciclo 1 de racionalización que permite evidenciar que ninguno de los trámites facilitan la implementación del Acuerdo de Paz. La información se encuentra en los archivos: 
 Inventario Ciclo 1: Se"&amp;"cretaría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que ninguno de los trámites facilitan la implementación del Acuerdo de Paz. La información se encuentra en los archivos: 
 Inventario Ciclo 1: Secretaría de Cultura, Jurídica y Vivienda Social
 https://docs.google.com/spreadsheets/d/1SVYwHi6XSse0Gb6IlxxHqQt_BnDyw-fe/edit?usp=sharing&amp;ouid=109371799095710558491&amp;rtpof=true&amp;sd=true</v>
      </c>
      <c r="N196" s="11">
        <f ca="1">IFERROR(__xludf.DUMMYFUNCTION("""COMPUTED_VALUE"""),44742)</f>
        <v>44742</v>
      </c>
      <c r="O196" s="12">
        <f ca="1">IFERROR(__xludf.DUMMYFUNCTION("""COMPUTED_VALUE"""),0.8)</f>
        <v>0.8</v>
      </c>
      <c r="P196" s="10" t="str">
        <f ca="1">IFERROR(__xludf.DUMMYFUNCTION("""COMPUTED_VALUE"""),"Se cuenta con el Inventario de trámites, recopilado en los ciclos 1 y 2 de racionalización que permite evidenciar que ninguno de los trámites facilitan la implementación del Acuerdo de Paz. La información se encuentra en los archivos: 
 Inventario Ciclo"&amp;" 1: Secretaría de Cultura, Jurídica y Vivienda Social
 https://docs.google.com/spreadsheets/d/1SVYwHi6XSse0Gb6IlxxHqQt_BnDyw-fe/edit?usp=sharing&amp;ouid=109371799095710558491&amp;rtpof=true&amp;sd=true
 Inventario Ciclo 2: Secretaría de Desarrollo Económico y Comp"&amp;"etitividad
 https://drive.google.com/drive/folders/14-qDwl7x7eOF9zpDIrLQdhrZcfjDSonT?usp=sharing")</f>
        <v>Se cuenta con el Inventario de trámites, recopilado en los ciclos 1 y 2 de racionalización que permite evidenciar que ninguno de los trámites facilitan la implementación del Acuerdo de Paz.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v>
      </c>
      <c r="Q196" s="11">
        <f ca="1">IFERROR(__xludf.DUMMYFUNCTION("""COMPUTED_VALUE"""),44834)</f>
        <v>44834</v>
      </c>
      <c r="R196" s="12">
        <f ca="1">IFERROR(__xludf.DUMMYFUNCTION("""COMPUTED_VALUE"""),1)</f>
        <v>1</v>
      </c>
      <c r="S196" s="10" t="str">
        <f ca="1">IFERROR(__xludf.DUMMYFUNCTION("""COMPUTED_VALUE"""),"Se cuenta con el Inventario de trámites, recopilado en los ciclos 1, 2 y 3 de racionalización que permite evidenciar los trámites que facilitan la implementación del Acuerdo de Paz. La información se encuentra en los archivos: 
 Inventario Ciclo 1: Secr"&amp;"etaría de Cultura, Jurídica y Vivienda Social
 https://docs.google.com/spreadsheets/d/1SVYwHi6XSse0Gb6IlxxHqQt_BnDyw-fe/edit?usp=sharing&amp;ouid=109371799095710558491&amp;rtpof=true&amp;sd=true
 Inventario Ciclo 2: Secretaría de Desarrollo Económico y Competitivid"&amp;"ad
 https://drive.google.com/drive/folders/14-qDwl7x7eOF9zpDIrLQdhrZcfjDSonT?usp=sharing
 Inventario Ciclo 3: Secretaría de Gestión Administrativa - https://docs.google.com/spreadsheets/d/1XqjYW1cuSUq7vPpfgpHlC8No3Yp2-rtg/edit?usp=share_link&amp;ouid=109371"&amp;"799095710558491&amp;rtpof=true&amp;sd=true")</f>
        <v>Se cuenta con el Inventario de trámites, recopilado en los ciclos 1, 2 y 3 de racionalización que permite evidenciar los trámites que facilitan la implementación del Acuerdo de Paz.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196" s="11">
        <f ca="1">IFERROR(__xludf.DUMMYFUNCTION("""COMPUTED_VALUE"""),44926)</f>
        <v>44926</v>
      </c>
      <c r="U196" s="10"/>
    </row>
    <row r="197" spans="1:21" ht="409.5" x14ac:dyDescent="0.2">
      <c r="A197" s="10" t="str">
        <f ca="1">IFERROR(__xludf.DUMMYFUNCTION("""COMPUTED_VALUE"""),"Gestión con valores para resultados")</f>
        <v>Gestión con valores para resultados</v>
      </c>
      <c r="B197" s="10" t="str">
        <f ca="1">IFERROR(__xludf.DUMMYFUNCTION("""COMPUTED_VALUE"""),"Racionalización de Trámites")</f>
        <v>Racionalización de Trámites</v>
      </c>
      <c r="C197" s="10" t="str">
        <f ca="1">IFERROR(__xludf.DUMMYFUNCTION("""COMPUTED_VALUE"""),"Identificar trámites que están relacionados con las metas de los Planes de Desarrollo (nacionales o territoriales), en el o los Procesos incluidos en los Ciclos de Racionalización")</f>
        <v>Identificar trámites que están relacionados con las metas de los Planes de Desarrollo (nacionales o territoriales), en el o los Procesos incluidos en los Ciclos de Racionalización</v>
      </c>
      <c r="D197" s="10" t="str">
        <f ca="1">IFERROR(__xludf.DUMMYFUNCTION("""COMPUTED_VALUE"""),"Inventario actualizado de los trámites y/o servicios relacionados con las metas de los Planes de Desarrollo, correspondientes a los Ciclos de Racionalización")</f>
        <v>Inventario actualizado de los trámites y/o servicios relacionados con las metas de los Planes de Desarrollo, correspondientes a los Ciclos de Racionalización</v>
      </c>
      <c r="E197" s="10" t="str">
        <f ca="1">IFERROR(__xludf.DUMMYFUNCTION("""COMPUTED_VALUE"""),"100% Inventario de Trámites y OPA actualizado por Ciclo de Racionalización")</f>
        <v>100% Inventario de Trámites y OPA actualizado por Ciclo de Racionalización</v>
      </c>
      <c r="F197" s="11">
        <f ca="1">IFERROR(__xludf.DUMMYFUNCTION("""COMPUTED_VALUE"""),44593)</f>
        <v>44593</v>
      </c>
      <c r="G197" s="11"/>
      <c r="H197"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7" s="12"/>
      <c r="J197" s="10" t="str">
        <f ca="1">IFERROR(__xludf.DUMMYFUNCTION("""COMPUTED_VALUE"""),"Se cuenta con el Inventario de trámites, recopilado en el ciclo 1 de racionalización que permite evidenciar que no se cuentan con trámites que hagan parte de la ruta de la excelencia. La información se encuentra en los archivos: 
 Inventario Ciclo 1: Se"&amp;"cretaría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que no se cuentan con trámites que hagan parte de la ruta de la excelencia. La información se encuentra en los archivos: 
 Inventario Ciclo 1: Secretaría de Cultura, Jurídica y Vivienda Social
 https://docs.google.com/spreadsheets/d/1SVYwHi6XSse0Gb6IlxxHqQt_BnDyw-fe/edit?usp=sharing&amp;ouid=109371799095710558491&amp;rtpof=true&amp;sd=true</v>
      </c>
      <c r="K197" s="11">
        <f ca="1">IFERROR(__xludf.DUMMYFUNCTION("""COMPUTED_VALUE"""),44650)</f>
        <v>44650</v>
      </c>
      <c r="L197" s="12"/>
      <c r="M197" s="10" t="str">
        <f ca="1">IFERROR(__xludf.DUMMYFUNCTION("""COMPUTED_VALUE"""),"Se cuenta con el Inventario de trámites, recopilado en el ciclo 1 de racionalización que permite evidenciar los trámites que están relacionados con las metas del Plan de Desarrollo. La información se encuentra en los archivos: 
 Inventario Ciclo 1: Secr"&amp;"etaría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los trámites que están relacionados con las metas del Plan de Desarrollo. La información se encuentra en los archivos: 
 Inventario Ciclo 1: Secretaría de Cultura, Jurídica y Vivienda Social
 https://docs.google.com/spreadsheets/d/1SVYwHi6XSse0Gb6IlxxHqQt_BnDyw-fe/edit?usp=sharing&amp;ouid=109371799095710558491&amp;rtpof=true&amp;sd=true</v>
      </c>
      <c r="N197" s="11">
        <f ca="1">IFERROR(__xludf.DUMMYFUNCTION("""COMPUTED_VALUE"""),44742)</f>
        <v>44742</v>
      </c>
      <c r="O197" s="12">
        <f ca="1">IFERROR(__xludf.DUMMYFUNCTION("""COMPUTED_VALUE"""),0.8)</f>
        <v>0.8</v>
      </c>
      <c r="P197" s="10" t="str">
        <f ca="1">IFERROR(__xludf.DUMMYFUNCTION("""COMPUTED_VALUE"""),"Se cuenta con el Inventario de trámites, recopilado en los ciclos 1 y 2 de racionalización que permite evidenciar los trámites que están relacionados con las metas del Plan de Desarrollo. La información se encuentra en los archivos: 
 Inventario Ciclo 1"&amp;": Secretaría de Cultura, Jurídica y Vivienda Social
 https://docs.google.com/spreadsheets/d/1SVYwHi6XSse0Gb6IlxxHqQt_BnDyw-fe/edit?usp=sharing&amp;ouid=109371799095710558491&amp;rtpof=true&amp;sd=true
 Inventario Ciclo 2: Secretaría de Desarrollo Económico y Compet"&amp;"itividad
 https://drive.google.com/drive/folders/14-qDwl7x7eOF9zpDIrLQdhrZcfjDSonT?usp=sharing")</f>
        <v>Se cuenta con el Inventario de trámites, recopilado en los ciclos 1 y 2 de racionalización que permite evidenciar los trámites que están relacionados con las metas del Plan de Desarrollo.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v>
      </c>
      <c r="Q197" s="11">
        <f ca="1">IFERROR(__xludf.DUMMYFUNCTION("""COMPUTED_VALUE"""),44834)</f>
        <v>44834</v>
      </c>
      <c r="R197" s="12">
        <f ca="1">IFERROR(__xludf.DUMMYFUNCTION("""COMPUTED_VALUE"""),1)</f>
        <v>1</v>
      </c>
      <c r="S197" s="10" t="str">
        <f ca="1">IFERROR(__xludf.DUMMYFUNCTION("""COMPUTED_VALUE"""),"Se cuenta con el Inventario de trámites, recopilado en los ciclos 1, 2 y 3 de racionalización que permite evidenciar los trámites que están relacionados con las metas del Plan de Desarrollo. La información se encuentra en los archivos: 
 Inventario Cicl"&amp;"o 1: Secretaría de Cultura, Jurídica y Vivienda Social
 https://docs.google.com/spreadsheets/d/1SVYwHi6XSse0Gb6IlxxHqQt_BnDyw-fe/edit?usp=sharing&amp;ouid=109371799095710558491&amp;rtpof=true&amp;sd=true
 Inventario Ciclo 2: Secretaría de Desarrollo Económico y Com"&amp;"petitividad
 https://drive.google.com/drive/folders/14-qDwl7x7eOF9zpDIrLQdhrZcfjDSonT?usp=sharing
 Inventario Ciclo 3: Secretaría de Gestión Administrativa - https://docs.google.com/spreadsheets/d/1XqjYW1cuSUq7vPpfgpHlC8No3Yp2-rtg/edit?usp=share_link&amp;ou"&amp;"id=109371799095710558491&amp;rtpof=true&amp;sd=true")</f>
        <v>Se cuenta con el Inventario de trámites, recopilado en los ciclos 1, 2 y 3 de racionalización que permite evidenciar los trámites que están relacionados con las metas del Plan de Desarrollo.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197" s="11">
        <f ca="1">IFERROR(__xludf.DUMMYFUNCTION("""COMPUTED_VALUE"""),44926)</f>
        <v>44926</v>
      </c>
      <c r="U197" s="10"/>
    </row>
    <row r="198" spans="1:21" ht="409.5" x14ac:dyDescent="0.2">
      <c r="A198" s="10" t="str">
        <f ca="1">IFERROR(__xludf.DUMMYFUNCTION("""COMPUTED_VALUE"""),"Gestión con valores para resultados")</f>
        <v>Gestión con valores para resultados</v>
      </c>
      <c r="B198" s="10" t="str">
        <f ca="1">IFERROR(__xludf.DUMMYFUNCTION("""COMPUTED_VALUE"""),"Racionalización de Trámites")</f>
        <v>Racionalización de Trámites</v>
      </c>
      <c r="C198" s="10" t="str">
        <f ca="1">IFERROR(__xludf.DUMMYFUNCTION("""COMPUTED_VALUE"""),"Identificar los trámites que hacen parte de la Ruta de la Excelencia o Mapa de ruta que adelanta el Ministerio de Tecnologías de la Información y las Comunicaciones - DNP y Función Pública, en el o los Procesos incluidos en los Ciclos de Racionalización")</f>
        <v>Identificar los trámites que hacen parte de la Ruta de la Excelencia o Mapa de ruta que adelanta el Ministerio de Tecnologías de la Información y las Comunicaciones - DNP y Función Pública, en el o los Procesos incluidos en los Ciclos de Racionalización</v>
      </c>
      <c r="D198" s="10" t="str">
        <f ca="1">IFERROR(__xludf.DUMMYFUNCTION("""COMPUTED_VALUE"""),"Inventario actualizado de los trámites y/o servicios, que hacen parte de la Ruta de la Excelencia, correspondientes a los Ciclos de Racionalización")</f>
        <v>Inventario actualizado de los trámites y/o servicios, que hacen parte de la Ruta de la Excelencia, correspondientes a los Ciclos de Racionalización</v>
      </c>
      <c r="E198" s="10" t="str">
        <f ca="1">IFERROR(__xludf.DUMMYFUNCTION("""COMPUTED_VALUE"""),"100% Inventario de Trámites y OPA actualizado por Ciclo de Racionalización")</f>
        <v>100% Inventario de Trámites y OPA actualizado por Ciclo de Racionalización</v>
      </c>
      <c r="F198" s="11">
        <f ca="1">IFERROR(__xludf.DUMMYFUNCTION("""COMPUTED_VALUE"""),44593)</f>
        <v>44593</v>
      </c>
      <c r="G198" s="11"/>
      <c r="H198"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8" s="12"/>
      <c r="J198" s="10" t="str">
        <f ca="1">IFERROR(__xludf.DUMMYFUNCTION("""COMPUTED_VALUE"""),"Se cuenta con el Inventario de trámites, recopilado en el ciclo 1 de racionalización que permite evidenciar que no se cuentan con trámites que están relacionados con los indicadores de Doing Business. La información se encuentra en los archivos: 
 Inven"&amp;"tario Ciclo 1: Secretaría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que no se cuentan con trámites que están relacionados con los indicadores de Doing Business. La información se encuentra en los archivos: 
 Inventario Ciclo 1: Secretaría de Cultura, Jurídica y Vivienda Social 
 https://docs.google.com/spreadsheets/d/1SVYwHi6XSse0Gb6IlxxHqQt_BnDyw-fe/edit?usp=sharing&amp;ouid=109371799095710558491&amp;rtpof=true&amp;sd=true</v>
      </c>
      <c r="K198" s="11">
        <f ca="1">IFERROR(__xludf.DUMMYFUNCTION("""COMPUTED_VALUE"""),44650)</f>
        <v>44650</v>
      </c>
      <c r="L198" s="12"/>
      <c r="M198" s="10" t="str">
        <f ca="1">IFERROR(__xludf.DUMMYFUNCTION("""COMPUTED_VALUE"""),"Se cuenta con el Inventario de trámites, recopilado en el ciclo 1 de racionalización que permite evidenciar que no se cuentan con trámites que hagan parte de la ruta de la excelencia. La información se encuentra en los archivos: 
 Inventario Ciclo 1: Se"&amp;"cretaría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que no se cuentan con trámites que hagan parte de la ruta de la excelencia. La información se encuentra en los archivos: 
 Inventario Ciclo 1: Secretaría de Cultura, Jurídica y Vivienda Social
 https://docs.google.com/spreadsheets/d/1SVYwHi6XSse0Gb6IlxxHqQt_BnDyw-fe/edit?usp=sharing&amp;ouid=109371799095710558491&amp;rtpof=true&amp;sd=true</v>
      </c>
      <c r="N198" s="11">
        <f ca="1">IFERROR(__xludf.DUMMYFUNCTION("""COMPUTED_VALUE"""),44742)</f>
        <v>44742</v>
      </c>
      <c r="O198" s="12">
        <f ca="1">IFERROR(__xludf.DUMMYFUNCTION("""COMPUTED_VALUE"""),0.8)</f>
        <v>0.8</v>
      </c>
      <c r="P198" s="10" t="str">
        <f ca="1">IFERROR(__xludf.DUMMYFUNCTION("""COMPUTED_VALUE"""),"Se cuenta con el Inventario de trámites, recopilado en los ciclos 1 y 2 de racionalización que permite evidenciar que no se cuentan con trámites que hagan parte de la ruta de la excelencia. La información se encuentra en los archivos: 
 Inventario Ciclo"&amp;" 1: Secretaría de Cultura, Jurídica y Vivienda Social
 https://docs.google.com/spreadsheets/d/1SVYwHi6XSse0Gb6IlxxHqQt_BnDyw-fe/edit?usp=sharing&amp;ouid=109371799095710558491&amp;rtpof=true&amp;sd=true
 Inventario Ciclo 2: Secretaría de Desarrollo Económico y Comp"&amp;"etitividad
 https://drive.google.com/drive/folders/14-qDwl7x7eOF9zpDIrLQdhrZcfjDSonT?usp=sharing")</f>
        <v>Se cuenta con el Inventario de trámites, recopilado en los ciclos 1 y 2 de racionalización que permite evidenciar que no se cuentan con trámites que hagan parte de la ruta de la excelencia.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v>
      </c>
      <c r="Q198" s="11">
        <f ca="1">IFERROR(__xludf.DUMMYFUNCTION("""COMPUTED_VALUE"""),44834)</f>
        <v>44834</v>
      </c>
      <c r="R198" s="12">
        <f ca="1">IFERROR(__xludf.DUMMYFUNCTION("""COMPUTED_VALUE"""),1)</f>
        <v>1</v>
      </c>
      <c r="S198" s="10" t="str">
        <f ca="1">IFERROR(__xludf.DUMMYFUNCTION("""COMPUTED_VALUE"""),"Se cuenta con el Inventario de trámites, recopilado en los ciclos 1, 2 y 3 de racionalización que permite evidenciar que no se cuentan con trámites que hagan parte de la ruta de la excelencia. La información se encuentra en los archivos: 
 Inventario Ci"&amp;"clo 1: Secretaría de Cultura, Jurídica y Vivienda Social
 https://docs.google.com/spreadsheets/d/1SVYwHi6XSse0Gb6IlxxHqQt_BnDyw-fe/edit?usp=sharing&amp;ouid=109371799095710558491&amp;rtpof=true&amp;sd=true
 Inventario Ciclo 2: Secretaría de Desarrollo Económico y C"&amp;"ompetitividadhttps://drive.google.com/drive/folders/14-qDwl7x7eOF9zpDIrLQdhrZcfjDSonT?usp=sharing
 Inventario Ciclo 3: Secretaría de Gestión Administrativa - https://docs.google.com/spreadsheets/d/1XqjYW1cuSUq7vPpfgpHlC8No3Yp2-rtg/edit?usp=share_link&amp;ou"&amp;"id=109371799095710558491&amp;rtpof=true&amp;sd=true")</f>
        <v>Se cuenta con el Inventario de trámites, recopilado en los ciclos 1, 2 y 3 de racionalización que permite evidenciar que no se cuentan con trámites que hagan parte de la ruta de la excelencia.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Competitividadhttps://drive.google.com/drive/folders/14-qDwl7x7eOF9zpDIrLQdhrZcfjDSonT?usp=sharing
 Inventario Ciclo 3: Secretaría de Gestión Administrativa - https://docs.google.com/spreadsheets/d/1XqjYW1cuSUq7vPpfgpHlC8No3Yp2-rtg/edit?usp=share_link&amp;ouid=109371799095710558491&amp;rtpof=true&amp;sd=true</v>
      </c>
      <c r="T198" s="11">
        <f ca="1">IFERROR(__xludf.DUMMYFUNCTION("""COMPUTED_VALUE"""),44926)</f>
        <v>44926</v>
      </c>
      <c r="U198" s="10"/>
    </row>
    <row r="199" spans="1:21" ht="409.5" x14ac:dyDescent="0.2">
      <c r="A199" s="10" t="str">
        <f ca="1">IFERROR(__xludf.DUMMYFUNCTION("""COMPUTED_VALUE"""),"Gestión con valores para resultados")</f>
        <v>Gestión con valores para resultados</v>
      </c>
      <c r="B199" s="10" t="str">
        <f ca="1">IFERROR(__xludf.DUMMYFUNCTION("""COMPUTED_VALUE"""),"Racionalización de Trámites")</f>
        <v>Racionalización de Trámites</v>
      </c>
      <c r="C199" s="10" t="str">
        <f ca="1">IFERROR(__xludf.DUMMYFUNCTION("""COMPUTED_VALUE"""),"Identificar los trámites que están relacionados con los indicadores de Doing Business, en el o los Procesos incluidos en los Ciclos de Racionalización")</f>
        <v>Identificar los trámites que están relacionados con los indicadores de Doing Business, en el o los Procesos incluidos en los Ciclos de Racionalización</v>
      </c>
      <c r="D199" s="10" t="str">
        <f ca="1">IFERROR(__xludf.DUMMYFUNCTION("""COMPUTED_VALUE"""),"Inventario actualizado de los trámites y/o servicios, relacionado con indicadores Doing Business, correspondientes a los Ciclos de Racionalización")</f>
        <v>Inventario actualizado de los trámites y/o servicios, relacionado con indicadores Doing Business, correspondientes a los Ciclos de Racionalización</v>
      </c>
      <c r="E199" s="10" t="str">
        <f ca="1">IFERROR(__xludf.DUMMYFUNCTION("""COMPUTED_VALUE"""),"100% Inventario de Trámites y OPA actualizado por Ciclo de Racionalización")</f>
        <v>100% Inventario de Trámites y OPA actualizado por Ciclo de Racionalización</v>
      </c>
      <c r="F199" s="11">
        <f ca="1">IFERROR(__xludf.DUMMYFUNCTION("""COMPUTED_VALUE"""),44593)</f>
        <v>44593</v>
      </c>
      <c r="G199" s="11"/>
      <c r="H199"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199" s="12"/>
      <c r="J199" s="10" t="str">
        <f ca="1">IFERROR(__xludf.DUMMYFUNCTION("""COMPUTED_VALUE"""),"Se cuenta con un reporte de Datos de Operación, que permite identificar los trámites con mayor cantidad de quejas, reclamos y denuncias de los ciudadanos por trámite y por periodo. La información se encuentra en el siguiente archivo: 
 Datos de Operació"&amp;"n: https://docs.google.com/spreadsheets/d/1lzXxH-_mZtJmHYm2pTR4KPXGam6m3faM/edit?usp=sharing&amp;ouid=109371799095710558491&amp;rtpof=true&amp;sd=true")</f>
        <v>Se cuenta con un reporte de Datos de Operación, que permite identificar los trámites con mayor cantidad de quejas, reclamos y denuncias de los ciudadanos por trámite y por periodo. La información se encuentra en el siguiente archivo: 
 Datos de Operación: https://docs.google.com/spreadsheets/d/1lzXxH-_mZtJmHYm2pTR4KPXGam6m3faM/edit?usp=sharing&amp;ouid=109371799095710558491&amp;rtpof=true&amp;sd=true</v>
      </c>
      <c r="K199" s="11">
        <f ca="1">IFERROR(__xludf.DUMMYFUNCTION("""COMPUTED_VALUE"""),44650)</f>
        <v>44650</v>
      </c>
      <c r="L199" s="12"/>
      <c r="M199" s="10" t="str">
        <f ca="1">IFERROR(__xludf.DUMMYFUNCTION("""COMPUTED_VALUE"""),"Se cuenta con el Inventario de trámites, recopilado en el ciclo 1 de racionalización que permite evidenciar que no se cuentan con trámites que están relacionados con los indicadores de Doing Business. La información se encuentra en los archivos: 
 Inven"&amp;"tario Ciclo 1: Secretaría de Cultura, Jurídica y Vivienda Social 
 https://docs.google.com/spreadsheets/d/1SVYwHi6XSse0Gb6IlxxHqQt_BnDyw-fe/edit?usp=sharing&amp;ouid=109371799095710558491&amp;rtpof=true&amp;sd=true")</f>
        <v>Se cuenta con el Inventario de trámites, recopilado en el ciclo 1 de racionalización que permite evidenciar que no se cuentan con trámites que están relacionados con los indicadores de Doing Business. La información se encuentra en los archivos: 
 Inventario Ciclo 1: Secretaría de Cultura, Jurídica y Vivienda Social 
 https://docs.google.com/spreadsheets/d/1SVYwHi6XSse0Gb6IlxxHqQt_BnDyw-fe/edit?usp=sharing&amp;ouid=109371799095710558491&amp;rtpof=true&amp;sd=true</v>
      </c>
      <c r="N199" s="11">
        <f ca="1">IFERROR(__xludf.DUMMYFUNCTION("""COMPUTED_VALUE"""),44742)</f>
        <v>44742</v>
      </c>
      <c r="O199" s="12">
        <f ca="1">IFERROR(__xludf.DUMMYFUNCTION("""COMPUTED_VALUE"""),0.8)</f>
        <v>0.8</v>
      </c>
      <c r="P199" s="10" t="str">
        <f ca="1">IFERROR(__xludf.DUMMYFUNCTION("""COMPUTED_VALUE"""),"Se cuenta con el Inventario de trámites, recopilado en el ciclo 1 de racionalización que permite evidenciar que no cuenta con trámites que están relacionados con los indicadores de Doing Business. La información se encuentra en los archivos: 
 Inventari"&amp;"o Ciclo 1: Secretaría de Cultura, Jurídica y Vivienda Social
 https://docs.google.com/spreadsheets/d/1SVYwHi6XSse0Gb6IlxxHqQt_BnDyw-fe/edit?usp=sharing&amp;ouid=109371799095710558491&amp;rtpof=true&amp;sd=true
 En el ciclo 2 de racionalización se pueden evidenciar "&amp;"trámites de la secretaría de Competitividad que están relacionados con los indicadores de Doing Business. La información se encuentra en los archivos:
 Inventario Ciclo 2: Secretaría de Desarrollo Económico y Competitividad
 https://drive.google.com/dr"&amp;"ive/folders/14-qDwl7x7eOF9zpDIrLQdhrZcfjDSonT?usp=sharing")</f>
        <v>Se cuenta con el Inventario de trámites, recopilado en el ciclo 1 de racionalización que permite evidenciar que no cuenta con trámites que están relacionados con los indicadores de Doing Business. La información se encuentra en los archivos: 
 Inventario Ciclo 1: Secretaría de Cultura, Jurídica y Vivienda Social
 https://docs.google.com/spreadsheets/d/1SVYwHi6XSse0Gb6IlxxHqQt_BnDyw-fe/edit?usp=sharing&amp;ouid=109371799095710558491&amp;rtpof=true&amp;sd=true
 En el ciclo 2 de racionalización se pueden evidenciar trámites de la secretaría de Competitividad que están relacionados con los indicadores de Doing Business. La información se encuentra en los archivos:
 Inventario Ciclo 2: Secretaría de Desarrollo Económico y Competitividad
 https://drive.google.com/drive/folders/14-qDwl7x7eOF9zpDIrLQdhrZcfjDSonT?usp=sharing</v>
      </c>
      <c r="Q199" s="11">
        <f ca="1">IFERROR(__xludf.DUMMYFUNCTION("""COMPUTED_VALUE"""),44834)</f>
        <v>44834</v>
      </c>
      <c r="R199" s="12">
        <f ca="1">IFERROR(__xludf.DUMMYFUNCTION("""COMPUTED_VALUE"""),1)</f>
        <v>1</v>
      </c>
      <c r="S199" s="10" t="str">
        <f ca="1">IFERROR(__xludf.DUMMYFUNCTION("""COMPUTED_VALUE"""),"Se cuenta con el Inventario de trámites, recopilado en el ciclo 1, 2 y 3 de racionalización que permite evidenciar que no cuenta con trámites que están relacionados con los indicadores de Doing Business. La información se encuentra en los archivos: 
 In"&amp;"ventario Ciclo 1: Secretaría de Cultura, Jurídica y Vivienda Social
 https://docs.google.com/spreadsheets/d/1SVYwHi6XSse0Gb6IlxxHqQt_BnDyw-fe/edit?usp=sharing&amp;ouid=109371799095710558491&amp;rtpof=true&amp;sd=true
 En el ciclo 2 de racionalización se pueden evid"&amp;"enciar trámites de la secretaría de Competitividad que están relacionados con los indicadores de Doing Business. 
 Inventario Ciclo 2: Secretaría de Desarrollo Económico y Competitividad
 https://drive.google.com/drive/folders/14-qDwl7x7eOF9zpDIrLQdhrZc"&amp;"fjDSonT?usp=sharing
 Inventario Ciclo 3: Secretaría de Gestión Administrativa - https://docs.google.com/spreadsheets/d/1XqjYW1cuSUq7vPpfgpHlC8No3Yp2-rtg/edit?usp=share_link&amp;ouid=109371799095710558491&amp;rtpof=true&amp;sd=true")</f>
        <v>Se cuenta con el Inventario de trámites, recopilado en el ciclo 1, 2 y 3 de racionalización que permite evidenciar que no cuenta con trámites que están relacionados con los indicadores de Doing Business. La información se encuentra en los archivos: 
 Inventario Ciclo 1: Secretaría de Cultura, Jurídica y Vivienda Social
 https://docs.google.com/spreadsheets/d/1SVYwHi6XSse0Gb6IlxxHqQt_BnDyw-fe/edit?usp=sharing&amp;ouid=109371799095710558491&amp;rtpof=true&amp;sd=true
 En el ciclo 2 de racionalización se pueden evidenciar trámites de la secretaría de Competitividad que están relacionados con los indicadores de Doing Business.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199" s="11">
        <f ca="1">IFERROR(__xludf.DUMMYFUNCTION("""COMPUTED_VALUE"""),44926)</f>
        <v>44926</v>
      </c>
      <c r="U199" s="10"/>
    </row>
    <row r="200" spans="1:21" ht="409.5" x14ac:dyDescent="0.2">
      <c r="A200" s="10" t="str">
        <f ca="1">IFERROR(__xludf.DUMMYFUNCTION("""COMPUTED_VALUE"""),"Gestión con valores para resultados")</f>
        <v>Gestión con valores para resultados</v>
      </c>
      <c r="B200" s="10" t="str">
        <f ca="1">IFERROR(__xludf.DUMMYFUNCTION("""COMPUTED_VALUE"""),"Racionalización de Trámites")</f>
        <v>Racionalización de Trámites</v>
      </c>
      <c r="C200" s="10" t="str">
        <f ca="1">IFERROR(__xludf.DUMMYFUNCTION("""COMPUTED_VALUE"""),"Identificar los trámites con mayor cantidad de quejas, reclamos y denuncias de los ciudadanos, en el o los Procesos incluidos en los Ciclos de Racionalización")</f>
        <v>Identificar los trámites con mayor cantidad de quejas, reclamos y denuncias de los ciudadanos, en el o los Procesos incluidos en los Ciclos de Racionalización</v>
      </c>
      <c r="D200" s="10" t="str">
        <f ca="1">IFERROR(__xludf.DUMMYFUNCTION("""COMPUTED_VALUE"""),"Inventario actualizado priorizado según la cantidad de quejas de los trámites y/o servicios, correspondientes a los Ciclos de Racionalización")</f>
        <v>Inventario actualizado priorizado según la cantidad de quejas de los trámites y/o servicios, correspondientes a los Ciclos de Racionalización</v>
      </c>
      <c r="E200" s="10" t="str">
        <f ca="1">IFERROR(__xludf.DUMMYFUNCTION("""COMPUTED_VALUE"""),"100% Inventario de Trámites y OPA actualizado y priorizado por Ciclo de Racionalización")</f>
        <v>100% Inventario de Trámites y OPA actualizado y priorizado por Ciclo de Racionalización</v>
      </c>
      <c r="F200" s="11">
        <f ca="1">IFERROR(__xludf.DUMMYFUNCTION("""COMPUTED_VALUE"""),44593)</f>
        <v>44593</v>
      </c>
      <c r="G200" s="11"/>
      <c r="H200"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0" s="12"/>
      <c r="J200" s="10" t="str">
        <f ca="1">IFERROR(__xludf.DUMMYFUNCTION("""COMPUTED_VALUE"""),"Se cuenta con el Inventario de trámites, recopilado en el ciclo 1 de racionalización que permite analizar e identificar los trámites de la entidad que fueron objeto de observación por parte de las auditorías externas. La información se encuentra en los ar"&amp;"chivos: 
 Inventario Ciclo 1: Secretaría de Cultura, Jurídica y Vivienda Social
 https://docs.google.com/spreadsheets/d/1SVYwHi6XSse0Gb6IlxxHqQt_BnDyw-fe/edit?usp=sharing&amp;ouid=109371799095710558491&amp;rtpof=true&amp;sd=true")</f>
        <v>Se cuenta con el Inventario de trámites, recopilado en el ciclo 1 de racionalización que permite analizar e identificar los trámites de la entidad que fueron objeto de observación por parte de las auditorías externas. La información se encuentra en los archivos: 
 Inventario Ciclo 1: Secretaría de Cultura, Jurídica y Vivienda Social
 https://docs.google.com/spreadsheets/d/1SVYwHi6XSse0Gb6IlxxHqQt_BnDyw-fe/edit?usp=sharing&amp;ouid=109371799095710558491&amp;rtpof=true&amp;sd=true</v>
      </c>
      <c r="K200" s="11">
        <f ca="1">IFERROR(__xludf.DUMMYFUNCTION("""COMPUTED_VALUE"""),44650)</f>
        <v>44650</v>
      </c>
      <c r="L200" s="12"/>
      <c r="M200" s="10" t="str">
        <f ca="1">IFERROR(__xludf.DUMMYFUNCTION("""COMPUTED_VALUE"""),"Se cuenta con un reporte de Datos de Operación, que permite identificar los trámites con mayor cantidad de quejas, reclamos y denuncias de los ciudadanos por trámite y por periodo. La información se encuentra en el siguiente archivo: 
 Datos de Operació"&amp;"n:
 https://drive.google.com/drive/folders/1USWv5ZiYfBI3_-uXmxsZlSHmzwl0WGya?usp=sharing")</f>
        <v>Se cuenta con un reporte de Datos de Operación, que permite identificar los trámites con mayor cantidad de quejas, reclamos y denuncias de los ciudadanos por trámite y por periodo. La información se encuentra en el siguiente archivo: 
 Datos de Operación:
 https://drive.google.com/drive/folders/1USWv5ZiYfBI3_-uXmxsZlSHmzwl0WGya?usp=sharing</v>
      </c>
      <c r="N200" s="11">
        <f ca="1">IFERROR(__xludf.DUMMYFUNCTION("""COMPUTED_VALUE"""),44742)</f>
        <v>44742</v>
      </c>
      <c r="O200" s="12">
        <f ca="1">IFERROR(__xludf.DUMMYFUNCTION("""COMPUTED_VALUE"""),0.8)</f>
        <v>0.8</v>
      </c>
      <c r="P200" s="10" t="str">
        <f ca="1">IFERROR(__xludf.DUMMYFUNCTION("""COMPUTED_VALUE"""),"Se cuenta con un reporte de Datos de Operación, que permite identificar los trámites con mayor cantidad de quejas, reclamos y denuncias de los ciudadanos por trámite y por periodo. La información se encuentra en el siguiente archivo: 
 Datos de Operació"&amp;"n: https://drive.google.com/drive/folders/14-qDwl7x7eOF9zpDIrLQdhrZcfjDSonT?usp=sharing")</f>
        <v>Se cuenta con un reporte de Datos de Operación, que permite identificar los trámites con mayor cantidad de quejas, reclamos y denuncias de los ciudadanos por trámite y por periodo. La información se encuentra en el siguiente archivo: 
 Datos de Operación: https://drive.google.com/drive/folders/14-qDwl7x7eOF9zpDIrLQdhrZcfjDSonT?usp=sharing</v>
      </c>
      <c r="Q200" s="11">
        <f ca="1">IFERROR(__xludf.DUMMYFUNCTION("""COMPUTED_VALUE"""),44834)</f>
        <v>44834</v>
      </c>
      <c r="R200" s="12">
        <f ca="1">IFERROR(__xludf.DUMMYFUNCTION("""COMPUTED_VALUE"""),1)</f>
        <v>1</v>
      </c>
      <c r="S200" s="10" t="str">
        <f ca="1">IFERROR(__xludf.DUMMYFUNCTION("""COMPUTED_VALUE"""),"Se cuenta con un reporte de Datos de Operación, que permite identificar los trámites con mayor cantidad de quejas, reclamos y denuncias de los ciudadanos por trámite y por periodo. La información se encuentra en el siguiente archivo: 
 Datos de opera"&amp;"ción: https://docs.google.com/spreadsheets/d/1JWD-R8jNj2q4-F-6VRme_GSFbTcPnaxZ/edit?usp=share_link&amp;ouid=109371799095710558491&amp;rtpof=true&amp;sd=true")</f>
        <v>Se cuenta con un reporte de Datos de Operación, que permite identificar los trámites con mayor cantidad de quejas, reclamos y denuncias de los ciudadanos por trámite y por periodo. La información se encuentra en el siguiente archivo: 
 Datos de operación: https://docs.google.com/spreadsheets/d/1JWD-R8jNj2q4-F-6VRme_GSFbTcPnaxZ/edit?usp=share_link&amp;ouid=109371799095710558491&amp;rtpof=true&amp;sd=true</v>
      </c>
      <c r="T200" s="11">
        <f ca="1">IFERROR(__xludf.DUMMYFUNCTION("""COMPUTED_VALUE"""),44926)</f>
        <v>44926</v>
      </c>
      <c r="U200" s="10"/>
    </row>
    <row r="201" spans="1:21" ht="409.5" x14ac:dyDescent="0.2">
      <c r="A201" s="10" t="str">
        <f ca="1">IFERROR(__xludf.DUMMYFUNCTION("""COMPUTED_VALUE"""),"Gestión con valores para resultados")</f>
        <v>Gestión con valores para resultados</v>
      </c>
      <c r="B201" s="10" t="str">
        <f ca="1">IFERROR(__xludf.DUMMYFUNCTION("""COMPUTED_VALUE"""),"Racionalización de Trámites")</f>
        <v>Racionalización de Trámites</v>
      </c>
      <c r="C201" s="10" t="str">
        <f ca="1">IFERROR(__xludf.DUMMYFUNCTION("""COMPUTED_VALUE"""),"Analizar e identificar los trámites de la entidad que fueron objeto de observación por parte de las auditorías externas, en el o los Procesos incluidos en los Ciclos de Racionalización")</f>
        <v>Analizar e identificar los trámites de la entidad que fueron objeto de observación por parte de las auditorías externas, en el o los Procesos incluidos en los Ciclos de Racionalización</v>
      </c>
      <c r="D201" s="10" t="str">
        <f ca="1">IFERROR(__xludf.DUMMYFUNCTION("""COMPUTED_VALUE"""),"Inventario actualizado de los trámites y/o servicios que fueron objeto de observación externa, correspondientes a los Ciclos de Racionalización")</f>
        <v>Inventario actualizado de los trámites y/o servicios que fueron objeto de observación externa, correspondientes a los Ciclos de Racionalización</v>
      </c>
      <c r="E201" s="10" t="str">
        <f ca="1">IFERROR(__xludf.DUMMYFUNCTION("""COMPUTED_VALUE"""),"100% Inventario de Trámites y OPA actualizado por Ciclo de Racionalización")</f>
        <v>100% Inventario de Trámites y OPA actualizado por Ciclo de Racionalización</v>
      </c>
      <c r="F201" s="11">
        <f ca="1">IFERROR(__xludf.DUMMYFUNCTION("""COMPUTED_VALUE"""),44593)</f>
        <v>44593</v>
      </c>
      <c r="G201" s="11"/>
      <c r="H201"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1" s="12"/>
      <c r="J201" s="10" t="str">
        <f ca="1">IFERROR(__xludf.DUMMYFUNCTION("""COMPUTED_VALUE"""),"Se cuenta con el Inventario de trámites, recopilado en el ciclo 1 de racionalización que permite evidenciar que ninguno de los trámites tienen tarifa para los usuarios. La información se encuentra en los archivos: 
 Inventario Ciclo 1: Secretaría de Cul"&amp;"tura, Jurídica y Vivienda Social
 https://docs.google.com/spreadsheets/d/1SVYwHi6XSse0Gb6IlxxHqQt_BnDyw-fe/edit?usp=sharing&amp;ouid=109371799095710558491&amp;rtpof=true&amp;sd=true")</f>
        <v>Se cuenta con el Inventario de trámites, recopilado en el ciclo 1 de racionalización que permite evidenciar que ninguno de los trámites tienen tarifa para los usuarios. La información se encuentra en los archivos: 
 Inventario Ciclo 1: Secretaría de Cultura, Jurídica y Vivienda Social
 https://docs.google.com/spreadsheets/d/1SVYwHi6XSse0Gb6IlxxHqQt_BnDyw-fe/edit?usp=sharing&amp;ouid=109371799095710558491&amp;rtpof=true&amp;sd=true</v>
      </c>
      <c r="K201" s="11">
        <f ca="1">IFERROR(__xludf.DUMMYFUNCTION("""COMPUTED_VALUE"""),44650)</f>
        <v>44650</v>
      </c>
      <c r="L201" s="12"/>
      <c r="M201" s="10" t="str">
        <f ca="1">IFERROR(__xludf.DUMMYFUNCTION("""COMPUTED_VALUE"""),"Se cuenta con el Inventario de trámites, recopilado en el ciclo 1 de racionalización que permite analizar e identificar los trámites de la entidad que fueron objeto de observación por parte de las auditorías externas. La información se encuentra en los ar"&amp;"chivos: 
 Inventario Ciclo 1: Secretaría de Cultura, Jurídica y Vivienda Social
 https://docs.google.com/spreadsheets/d/1SVYwHi6XSse0Gb6IlxxHqQt_BnDyw-fe/edit?usp=sharing&amp;ouid=109371799095710558491&amp;rtpof=true&amp;sd=true")</f>
        <v>Se cuenta con el Inventario de trámites, recopilado en el ciclo 1 de racionalización que permite analizar e identificar los trámites de la entidad que fueron objeto de observación por parte de las auditorías externas. La información se encuentra en los archivos: 
 Inventario Ciclo 1: Secretaría de Cultura, Jurídica y Vivienda Social
 https://docs.google.com/spreadsheets/d/1SVYwHi6XSse0Gb6IlxxHqQt_BnDyw-fe/edit?usp=sharing&amp;ouid=109371799095710558491&amp;rtpof=true&amp;sd=true</v>
      </c>
      <c r="N201" s="11">
        <f ca="1">IFERROR(__xludf.DUMMYFUNCTION("""COMPUTED_VALUE"""),44742)</f>
        <v>44742</v>
      </c>
      <c r="O201" s="12">
        <f ca="1">IFERROR(__xludf.DUMMYFUNCTION("""COMPUTED_VALUE"""),0.8)</f>
        <v>0.8</v>
      </c>
      <c r="P201" s="10" t="str">
        <f ca="1">IFERROR(__xludf.DUMMYFUNCTION("""COMPUTED_VALUE"""),"Se cuenta con el Inventario de trámites, recopilado en los ciclos 1 y 2 de racionalización que permite analizar e identificar los trámites de la entidad que fueron objeto de observación por parte de las auditorías externas. La información se encuentra en "&amp;"los archivos: 
 Inventario Ciclo 1: Secretaría de Cultura, Jurídica y Vivienda Social
 https://docs.google.com/spreadsheets/d/1SVYwHi6XSse0Gb6IlxxHqQt_BnDyw-fe/edit?usp=sharing&amp;ouid=109371799095710558491&amp;rtpof=true&amp;sd=true
 Inventario Ciclo 2: Secreta"&amp;"ría de Desarrollo Económico y Competitividad
 https://drive.google.com/drive/folders/14-qDwl7x7eOF9zpDIrLQdhrZcfjDSonT?usp=sharing")</f>
        <v>Se cuenta con el Inventario de trámites, recopilado en los ciclos 1 y 2 de racionalización que permite analizar e identificar los trámites de la entidad que fueron objeto de observación por parte de las auditorías externas.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v>
      </c>
      <c r="Q201" s="11">
        <f ca="1">IFERROR(__xludf.DUMMYFUNCTION("""COMPUTED_VALUE"""),44834)</f>
        <v>44834</v>
      </c>
      <c r="R201" s="12">
        <f ca="1">IFERROR(__xludf.DUMMYFUNCTION("""COMPUTED_VALUE"""),1)</f>
        <v>1</v>
      </c>
      <c r="S201" s="10" t="str">
        <f ca="1">IFERROR(__xludf.DUMMYFUNCTION("""COMPUTED_VALUE"""),"Se cuenta con el Inventario de trámites, recopilado en los ciclos 1, 2 y 3 de racionalización que permite analizar e identificar los trámites de la entidad que fueron objeto de observación por parte de las auditorías externas. La información se encuentra "&amp;"en los archivos: 
 Inventario Ciclo 1: Secretaría de Cultura, Jurídica y Vivienda Social
 https://docs.google.com/spreadsheets/d/1SVYwHi6XSse0Gb6IlxxHqQt_BnDyw-fe/edit?usp=sharing&amp;ouid=109371799095710558491&amp;rtpof=true&amp;sd=true
 Inventario Ciclo 2: Secr"&amp;"etaría de Desarrollo Económico y Competitividad
 https://drive.google.com/drive/folders/14-qDwl7x7eOF9zpDIrLQdhrZcfjDSonT?usp=sharing
 Inventario Ciclo 3: Secretaría de Gestión Administrativa - https://docs.google.com/spreadsheets/d/1XqjYW1cuSUq7vPpfgpH"&amp;"lC8No3Yp2-rtg/edit?usp=share_link&amp;ouid=109371799095710558491&amp;rtpof=true&amp;sd=true")</f>
        <v>Se cuenta con el Inventario de trámites, recopilado en los ciclos 1, 2 y 3 de racionalización que permite analizar e identificar los trámites de la entidad que fueron objeto de observación por parte de las auditorías externas.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201" s="11">
        <f ca="1">IFERROR(__xludf.DUMMYFUNCTION("""COMPUTED_VALUE"""),44926)</f>
        <v>44926</v>
      </c>
      <c r="U201" s="10"/>
    </row>
    <row r="202" spans="1:21" ht="409.5" x14ac:dyDescent="0.2">
      <c r="A202" s="10" t="str">
        <f ca="1">IFERROR(__xludf.DUMMYFUNCTION("""COMPUTED_VALUE"""),"Gestión con valores para resultados")</f>
        <v>Gestión con valores para resultados</v>
      </c>
      <c r="B202" s="10" t="str">
        <f ca="1">IFERROR(__xludf.DUMMYFUNCTION("""COMPUTED_VALUE"""),"Racionalización de Trámites")</f>
        <v>Racionalización de Trámites</v>
      </c>
      <c r="C202" s="10" t="str">
        <f ca="1">IFERROR(__xludf.DUMMYFUNCTION("""COMPUTED_VALUE"""),"Identificar los trámites de mayor tarifa para los usuarios, en el o los Procesos incluidos en los Ciclos de Racionalización")</f>
        <v>Identificar los trámites de mayor tarifa para los usuarios, en el o los Procesos incluidos en los Ciclos de Racionalización</v>
      </c>
      <c r="D202" s="10" t="str">
        <f ca="1">IFERROR(__xludf.DUMMYFUNCTION("""COMPUTED_VALUE"""),"Inventario actualizado priorizado por valor de tarifa de los trámites y/o servicios, correspondientes a los Ciclos de Racionalización")</f>
        <v>Inventario actualizado priorizado por valor de tarifa de los trámites y/o servicios, correspondientes a los Ciclos de Racionalización</v>
      </c>
      <c r="E202" s="10" t="str">
        <f ca="1">IFERROR(__xludf.DUMMYFUNCTION("""COMPUTED_VALUE"""),"100% Inventario de Trámites y OPA actualizado y priorizado por Ciclo de Racionalización")</f>
        <v>100% Inventario de Trámites y OPA actualizado y priorizado por Ciclo de Racionalización</v>
      </c>
      <c r="F202" s="11">
        <f ca="1">IFERROR(__xludf.DUMMYFUNCTION("""COMPUTED_VALUE"""),44593)</f>
        <v>44593</v>
      </c>
      <c r="G202" s="11"/>
      <c r="H202"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2" s="12"/>
      <c r="J202" s="10" t="str">
        <f ca="1">IFERROR(__xludf.DUMMYFUNCTION("""COMPUTED_VALUE"""),"Las encuestas de satisfacción se encuentran implementadas en el nuevo portal web - sede electrónica
 Enlace a las encuestas de satisfacción: https://www.pereira.gov.co/formularios/updInfo/164856042649947/
 Encuestas de trámites: https://www.pereira.go"&amp;"v.co/publicaciones/4341/encuestas-de-evaluacion-y-satisfaccion-de-los-tramites/")</f>
        <v>Las encuestas de satisfacción se encuentran implementadas en el nuevo portal web - sede electrónica
 Enlace a las encuestas de satisfacción: https://www.pereira.gov.co/formularios/updInfo/164856042649947/
 Encuestas de trámites: https://www.pereira.gov.co/publicaciones/4341/encuestas-de-evaluacion-y-satisfaccion-de-los-tramites/</v>
      </c>
      <c r="K202" s="11">
        <f ca="1">IFERROR(__xludf.DUMMYFUNCTION("""COMPUTED_VALUE"""),44650)</f>
        <v>44650</v>
      </c>
      <c r="L202" s="12"/>
      <c r="M202" s="10" t="str">
        <f ca="1">IFERROR(__xludf.DUMMYFUNCTION("""COMPUTED_VALUE"""),"Se cuenta con el Inventario de trámites, recopilado en el ciclo 1 de racionalización que permite evidenciar que ninguno de los trámites tienen tarifa para los usuarios. La información se encuentra en los archivos: 
 Inventario Ciclo 1: Secretaría de Cul"&amp;"tura, Jurídica y Vivienda Social
 https://docs.google.com/spreadsheets/d/1SVYwHi6XSse0Gb6IlxxHqQt_BnDyw-fe/edit?usp=sharing&amp;ouid=109371799095710558491&amp;rtpof=true&amp;sd=true")</f>
        <v>Se cuenta con el Inventario de trámites, recopilado en el ciclo 1 de racionalización que permite evidenciar que ninguno de los trámites tienen tarifa para los usuarios. La información se encuentra en los archivos: 
 Inventario Ciclo 1: Secretaría de Cultura, Jurídica y Vivienda Social
 https://docs.google.com/spreadsheets/d/1SVYwHi6XSse0Gb6IlxxHqQt_BnDyw-fe/edit?usp=sharing&amp;ouid=109371799095710558491&amp;rtpof=true&amp;sd=true</v>
      </c>
      <c r="N202" s="11">
        <f ca="1">IFERROR(__xludf.DUMMYFUNCTION("""COMPUTED_VALUE"""),44742)</f>
        <v>44742</v>
      </c>
      <c r="O202" s="12">
        <f ca="1">IFERROR(__xludf.DUMMYFUNCTION("""COMPUTED_VALUE"""),0.8)</f>
        <v>0.8</v>
      </c>
      <c r="P202" s="10" t="str">
        <f ca="1">IFERROR(__xludf.DUMMYFUNCTION("""COMPUTED_VALUE"""),"Se cuenta con el Inventario de trámites, recopilado en los ciclos 1 y 2 de racionalización que permite evidenciar que ninguno de los trámites tienen tarifa para los usuarios. La información se encuentra en los archivos:
 Inventario Ciclo 1: Secretaría d"&amp;"e Cultura, Jurídica y Vivienda Social
 https://docs.google.com/spreadsheets/d/1SVYwHi6XSse0Gb6IlxxHqQt_BnDyw-fe/edit?usp=sharing&amp;ouid=109371799095710558491&amp;rtpof=true&amp;sd=true
 Inventario Ciclo 2: Secretaría de Desarrollo Económico y Competitividad
 http"&amp;"s://drive.google.com/drive/folders/14-qDwl7x7eOF9zpDIrLQdhrZcfjDSonT?usp=sharing")</f>
        <v>Se cuenta con el Inventario de trámites, recopilado en los ciclos 1 y 2 de racionalización que permite evidenciar que ninguno de los trámites tienen tarifa para los usuarios.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v>
      </c>
      <c r="Q202" s="11">
        <f ca="1">IFERROR(__xludf.DUMMYFUNCTION("""COMPUTED_VALUE"""),44834)</f>
        <v>44834</v>
      </c>
      <c r="R202" s="12">
        <f ca="1">IFERROR(__xludf.DUMMYFUNCTION("""COMPUTED_VALUE"""),1)</f>
        <v>1</v>
      </c>
      <c r="S202" s="10" t="str">
        <f ca="1">IFERROR(__xludf.DUMMYFUNCTION("""COMPUTED_VALUE"""),"Se cuenta con el Inventario de trámites, recopilado en el ciclo 1, 2 y 3 de racionalización que permite evidenciar que ninguno de los trámites tienen tarifa para los usuarios. La información se encuentra en los archivos: 
 Inventario Ciclo 1: Secretaría"&amp;" de Cultura, Jurídica y Vivienda Social
 https://docs.google.com/spreadsheets/d/1SVYwHi6XSse0Gb6IlxxHqQt_BnDyw-fe/edit?usp=sharing&amp;ouid=109371799095710558491&amp;rtpof=true&amp;sd=true
 Inventario Ciclo 2: Secretaría de Desarrollo Económico y Competitividad
 ht"&amp;"tps://drive.google.com/drive/folders/14-qDwl7x7eOF9zpDIrLQdhrZcfjDSonT?usp=sharing
 Inventario Ciclo 3: Secretaría de Gestión Administrativa - https://docs.google.com/spreadsheets/d/1XqjYW1cuSUq7vPpfgpHlC8No3Yp2-rtg/edit?usp=share_link&amp;ouid=109371799095"&amp;"710558491&amp;rtpof=true&amp;sd=true")</f>
        <v>Se cuenta con el Inventario de trámites, recopilado en el ciclo 1, 2 y 3 de racionalización que permite evidenciar que ninguno de los trámites tienen tarifa para los usuarios.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202" s="11">
        <f ca="1">IFERROR(__xludf.DUMMYFUNCTION("""COMPUTED_VALUE"""),44926)</f>
        <v>44926</v>
      </c>
      <c r="U202" s="10"/>
    </row>
    <row r="203" spans="1:21" ht="395.25" x14ac:dyDescent="0.2">
      <c r="A203" s="10" t="str">
        <f ca="1">IFERROR(__xludf.DUMMYFUNCTION("""COMPUTED_VALUE"""),"Gestión con valores para resultados")</f>
        <v>Gestión con valores para resultados</v>
      </c>
      <c r="B203" s="10" t="str">
        <f ca="1">IFERROR(__xludf.DUMMYFUNCTION("""COMPUTED_VALUE"""),"Racionalización de Trámites")</f>
        <v>Racionalización de Trámites</v>
      </c>
      <c r="C203" s="10" t="str">
        <f ca="1">IFERROR(__xludf.DUMMYFUNCTION("""COMPUTED_VALUE"""),"Consultar a la ciudadanía sobre cuáles son los trámites más engorrosos, complejos, costosos, que afectan la competitividad, etc, en el o los Procesos incluidos en los Ciclos de Racionalización")</f>
        <v>Consultar a la ciudadanía sobre cuáles son los trámites más engorrosos, complejos, costosos, que afectan la competitividad, etc, en el o los Procesos incluidos en los Ciclos de Racionalización</v>
      </c>
      <c r="D203" s="10" t="str">
        <f ca="1">IFERROR(__xludf.DUMMYFUNCTION("""COMPUTED_VALUE"""),"Estadística de consulta a la ciudadanía sobre los trámites y/o servicios.")</f>
        <v>Estadística de consulta a la ciudadanía sobre los trámites y/o servicios.</v>
      </c>
      <c r="E203" s="10" t="str">
        <f ca="1">IFERROR(__xludf.DUMMYFUNCTION("""COMPUTED_VALUE"""),"Estadísticas de encuestas actualizadas")</f>
        <v>Estadísticas de encuestas actualizadas</v>
      </c>
      <c r="F203" s="11">
        <f ca="1">IFERROR(__xludf.DUMMYFUNCTION("""COMPUTED_VALUE"""),44593)</f>
        <v>44593</v>
      </c>
      <c r="G203" s="11"/>
      <c r="H203"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3" s="12"/>
      <c r="J203" s="10" t="str">
        <f ca="1">IFERROR(__xludf.DUMMYFUNCTION("""COMPUTED_VALUE"""),"Se cuenta con el Inventario de trámites, recopilado en el ciclo 1 de racionalización que permite Identificar los trámites que generan mayores costos internos en su ejecución para la entidad. La información se encuentra en los archivos: 
 Inventario Trám"&amp;"ites y OPA Alcaldía:
 https://docs.google.com/spreadsheets/d/14AkkI-X0Wn-DFyt0zhvKqyc4XxgQRo5B/edit?usp=sharing&amp;ouid=109371799095710558491&amp;rtpof=true&amp;sd=true 
 Inventario Ciclo 1: Secretaría de Cultura, Jurídica y Vivienda Social.
 https://docs.google.c"&amp;"om/spreadsheets/d/1SVYwHi6XSse0Gb6IlxxHqQt_BnDyw-fe/edit?usp=sharing&amp;ouid=109371799095710558491&amp;rtpof=true&amp;sd=true")</f>
        <v>Se cuenta con el Inventario de trámites, recopilado en el ciclo 1 de racionalización que permite Identificar los trámites que generan mayores costos internos en su ejecución para la entidad. La información se encuentra en los archivos: 
 Inventario Trámites y OPA Alcaldía:
 https://docs.google.com/spreadsheets/d/14AkkI-X0Wn-DFyt0zhvKqyc4XxgQRo5B/edit?usp=sharing&amp;ouid=109371799095710558491&amp;rtpof=true&amp;sd=true 
 Inventario Ciclo 1: Secretaría de Cultura, Jurídica y Vivienda Social.
 https://docs.google.com/spreadsheets/d/1SVYwHi6XSse0Gb6IlxxHqQt_BnDyw-fe/edit?usp=sharing&amp;ouid=109371799095710558491&amp;rtpof=true&amp;sd=true</v>
      </c>
      <c r="K203" s="11">
        <f ca="1">IFERROR(__xludf.DUMMYFUNCTION("""COMPUTED_VALUE"""),44650)</f>
        <v>44650</v>
      </c>
      <c r="L203" s="12"/>
      <c r="M203" s="10" t="str">
        <f ca="1">IFERROR(__xludf.DUMMYFUNCTION("""COMPUTED_VALUE"""),"Las encuestas de satisfacción se encuentran implementadas en el nuevo portal web - sede electrónica
 Enlace a las encuestas de satisfacción: https://www.pereira.gov.co/formularios/updInfo/165669574213058/
 Encuestas de trámites: https://www.pereira.go"&amp;"v.co/publicaciones/4341/encuestas-de-evaluacion-y-satisfaccion-de-los-tramites/")</f>
        <v>Las encuestas de satisfacción se encuentran implementadas en el nuevo portal web - sede electrónica
 Enlace a las encuestas de satisfacción: https://www.pereira.gov.co/formularios/updInfo/165669574213058/
 Encuestas de trámites: https://www.pereira.gov.co/publicaciones/4341/encuestas-de-evaluacion-y-satisfaccion-de-los-tramites/</v>
      </c>
      <c r="N203" s="11">
        <f ca="1">IFERROR(__xludf.DUMMYFUNCTION("""COMPUTED_VALUE"""),44742)</f>
        <v>44742</v>
      </c>
      <c r="O203" s="12">
        <f ca="1">IFERROR(__xludf.DUMMYFUNCTION("""COMPUTED_VALUE"""),0.8)</f>
        <v>0.8</v>
      </c>
      <c r="P203" s="10" t="str">
        <f ca="1">IFERROR(__xludf.DUMMYFUNCTION("""COMPUTED_VALUE"""),"Las encuestas de satisfacción se encuentran implementadas en el nuevo portal web - sede electrónica
 Enlace a las encuestas de satisfacción: https://www.pereira.gov.co/formularios/updInfo/165669574213058/
 Encuestas de trámites: https://www.pereira.go"&amp;"v.co/publicaciones/4341/encuestas-de-evaluacion-y-satisfaccion-de-los-tramites/")</f>
        <v>Las encuestas de satisfacción se encuentran implementadas en el nuevo portal web - sede electrónica
 Enlace a las encuestas de satisfacción: https://www.pereira.gov.co/formularios/updInfo/165669574213058/
 Encuestas de trámites: https://www.pereira.gov.co/publicaciones/4341/encuestas-de-evaluacion-y-satisfaccion-de-los-tramites/</v>
      </c>
      <c r="Q203" s="11">
        <f ca="1">IFERROR(__xludf.DUMMYFUNCTION("""COMPUTED_VALUE"""),44834)</f>
        <v>44834</v>
      </c>
      <c r="R203" s="12">
        <f ca="1">IFERROR(__xludf.DUMMYFUNCTION("""COMPUTED_VALUE"""),1)</f>
        <v>1</v>
      </c>
      <c r="S203" s="10" t="str">
        <f ca="1">IFERROR(__xludf.DUMMYFUNCTION("""COMPUTED_VALUE"""),"Las encuestas de satisfacción se encuentran implementadas en el nuevo portal web - sede electrónica
 Enlace a las encuestas de satisfacción: https://www.pereira.gov.co/formularios/updInfo/165669574213058/
 Encuestas de trámites: https://www.pereira.go"&amp;"v.co/publicaciones/4341/encuestas-de-evaluacion-y-satisfaccion-de-los-tramites/")</f>
        <v>Las encuestas de satisfacción se encuentran implementadas en el nuevo portal web - sede electrónica
 Enlace a las encuestas de satisfacción: https://www.pereira.gov.co/formularios/updInfo/165669574213058/
 Encuestas de trámites: https://www.pereira.gov.co/publicaciones/4341/encuestas-de-evaluacion-y-satisfaccion-de-los-tramites/</v>
      </c>
      <c r="T203" s="11">
        <f ca="1">IFERROR(__xludf.DUMMYFUNCTION("""COMPUTED_VALUE"""),44926)</f>
        <v>44926</v>
      </c>
      <c r="U203" s="10"/>
    </row>
    <row r="204" spans="1:21" ht="409.5" x14ac:dyDescent="0.2">
      <c r="A204" s="10" t="str">
        <f ca="1">IFERROR(__xludf.DUMMYFUNCTION("""COMPUTED_VALUE"""),"Gestión con valores para resultados")</f>
        <v>Gestión con valores para resultados</v>
      </c>
      <c r="B204" s="10" t="str">
        <f ca="1">IFERROR(__xludf.DUMMYFUNCTION("""COMPUTED_VALUE"""),"Racionalización de Trámites")</f>
        <v>Racionalización de Trámites</v>
      </c>
      <c r="C204" s="10" t="str">
        <f ca="1">IFERROR(__xludf.DUMMYFUNCTION("""COMPUTED_VALUE"""),"Identificar los trámites que generan mayores costos internos en su ejecución para la entidad, en el o los Procesos incluidos en los Ciclos de Racionalización")</f>
        <v>Identificar los trámites que generan mayores costos internos en su ejecución para la entidad, en el o los Procesos incluidos en los Ciclos de Racionalización</v>
      </c>
      <c r="D204" s="10" t="str">
        <f ca="1">IFERROR(__xludf.DUMMYFUNCTION("""COMPUTED_VALUE"""),"Inventario actualizado priorizado por costos internos de ejecución, correspondientes a los Ciclos de Racionalización")</f>
        <v>Inventario actualizado priorizado por costos internos de ejecución, correspondientes a los Ciclos de Racionalización</v>
      </c>
      <c r="E204" s="10" t="str">
        <f ca="1">IFERROR(__xludf.DUMMYFUNCTION("""COMPUTED_VALUE"""),"100% Inventario de Trámites y OPA actualizado y priorizado por Ciclo de Racionalización")</f>
        <v>100% Inventario de Trámites y OPA actualizado y priorizado por Ciclo de Racionalización</v>
      </c>
      <c r="F204" s="11">
        <f ca="1">IFERROR(__xludf.DUMMYFUNCTION("""COMPUTED_VALUE"""),44593)</f>
        <v>44593</v>
      </c>
      <c r="G204" s="11"/>
      <c r="H204"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4" s="12"/>
      <c r="J204" s="10" t="str">
        <f ca="1">IFERROR(__xludf.DUMMYFUNCTION("""COMPUTED_VALUE"""),"Para la vigencia 2022, se actualiza y prioriza el inventario del ciclo de racionalización a desarrollar, teniendo en cuenta los trámites y OPAS de mayor impacto hacia la comunidad, en cada secretaria y dependencia aprobada dentro de los ciclos. 
 Se eje"&amp;"cutará el ciclo número uno en el primer semestre del año 2022, quedando pendiente para el segundo semestre la ejecución de los ciclos 2 y 3. 
 Actas de Comité de racionalización con la Secretaría de Cultura, Jurídica y Vivienda Social: https://drive.go"&amp;"ogle.com/drive/folders/1h2pvHmDH-ItNFj-I8OLHeVdiJXUVJEml?usp=sharing")</f>
        <v>Para la vigencia 2022, se actualiza y prioriza el inventario del ciclo de racionalización a desarrollar, teniendo en cuenta los trámites y OPAS de mayor impacto hacia la comunidad, en cada secretaria y dependencia aprobada dentro de los ciclos. 
 Se ejecutará el ciclo número uno en el primer semestre del año 2022, quedando pendiente para el segundo semestre la ejecución de los ciclos 2 y 3. 
 Actas de Comité de racionalización con la Secretaría de Cultura, Jurídica y Vivienda Social: https://drive.google.com/drive/folders/1h2pvHmDH-ItNFj-I8OLHeVdiJXUVJEml?usp=sharing</v>
      </c>
      <c r="K204" s="11">
        <f ca="1">IFERROR(__xludf.DUMMYFUNCTION("""COMPUTED_VALUE"""),44650)</f>
        <v>44650</v>
      </c>
      <c r="L204" s="12"/>
      <c r="M204" s="10" t="str">
        <f ca="1">IFERROR(__xludf.DUMMYFUNCTION("""COMPUTED_VALUE"""),"Se cuenta con el Inventario de trámites, recopilado en el ciclo 1 de racionalización que permite Identificar los trámites que generan mayores costos internos en su ejecución para la entidad. La información se encuentra en los archivos: 
 Inventario Trám"&amp;"ites y OPA Alcaldía:
 https://docs.google.com/spreadsheets/d/14AkkI-X0Wn-DFyt0zhvKqyc4XxgQRo5B/edit?usp=sharing&amp;ouid=109371799095710558491&amp;rtpof=true&amp;sd=true 
 Inventario Ciclo 1: Secretaría de Cultura, Jurídica y Vivienda Social.
 https://docs.google.c"&amp;"om/spreadsheets/d/1SVYwHi6XSse0Gb6IlxxHqQt_BnDyw-fe/edit?usp=sharing&amp;ouid=109371799095710558491&amp;rtpof=true&amp;sd=true")</f>
        <v>Se cuenta con el Inventario de trámites, recopilado en el ciclo 1 de racionalización que permite Identificar los trámites que generan mayores costos internos en su ejecución para la entidad. La información se encuentra en los archivos: 
 Inventario Trámites y OPA Alcaldía:
 https://docs.google.com/spreadsheets/d/14AkkI-X0Wn-DFyt0zhvKqyc4XxgQRo5B/edit?usp=sharing&amp;ouid=109371799095710558491&amp;rtpof=true&amp;sd=true 
 Inventario Ciclo 1: Secretaría de Cultura, Jurídica y Vivienda Social.
 https://docs.google.com/spreadsheets/d/1SVYwHi6XSse0Gb6IlxxHqQt_BnDyw-fe/edit?usp=sharing&amp;ouid=109371799095710558491&amp;rtpof=true&amp;sd=true</v>
      </c>
      <c r="N204" s="11">
        <f ca="1">IFERROR(__xludf.DUMMYFUNCTION("""COMPUTED_VALUE"""),44742)</f>
        <v>44742</v>
      </c>
      <c r="O204" s="12">
        <f ca="1">IFERROR(__xludf.DUMMYFUNCTION("""COMPUTED_VALUE"""),0.8)</f>
        <v>0.8</v>
      </c>
      <c r="P204" s="10" t="str">
        <f ca="1">IFERROR(__xludf.DUMMYFUNCTION("""COMPUTED_VALUE"""),"Se cuenta con el Inventario de trámites, recopilado en los ciclos 1 y 2 de racionalización que permite Identificar los trámites que generan mayores costos internos en su ejecución para la entidad. La información se encuentra en los archivos: 
 Inventari"&amp;"o Ciclo 1: Secretaría de Cultura, Jurídica y Vivienda Social
 https://docs.google.com/spreadsheets/d/1SVYwHi6XSse0Gb6IlxxHqQt_BnDyw-fe/edit?usp=sharing&amp;ouid=109371799095710558491&amp;rtpof=true&amp;sd=true
 Inventario Ciclo 2: Secretaría de Desarrollo Económico"&amp;" y Competitividad
 https://drive.google.com/drive/folders/14-qDwl7x7eOF9zpDIrLQdhrZcfjDSonT?usp=sharing")</f>
        <v>Se cuenta con el Inventario de trámites, recopilado en los ciclos 1 y 2 de racionalización que permite Identificar los trámites que generan mayores costos internos en su ejecución para la entidad.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v>
      </c>
      <c r="Q204" s="11">
        <f ca="1">IFERROR(__xludf.DUMMYFUNCTION("""COMPUTED_VALUE"""),44834)</f>
        <v>44834</v>
      </c>
      <c r="R204" s="12">
        <f ca="1">IFERROR(__xludf.DUMMYFUNCTION("""COMPUTED_VALUE"""),1)</f>
        <v>1</v>
      </c>
      <c r="S204" s="10" t="str">
        <f ca="1">IFERROR(__xludf.DUMMYFUNCTION("""COMPUTED_VALUE"""),"Se cuenta con el Inventario de trámites, recopilado en el ciclo 1, 2 y 3 de racionalización que permite Identificar los trámites que generan mayores costos internos en su ejecución para la entidad. La información se encuentra en los archivos: 
 Inventar"&amp;"io Ciclo 1: Secretaría de Cultura, Jurídica y Vivienda Social
 https://docs.google.com/spreadsheets/d/1SVYwHi6XSse0Gb6IlxxHqQt_BnDyw-fe/edit?usp=sharing&amp;ouid=109371799095710558491&amp;rtpof=true&amp;sd=true
 Inventario Ciclo 2: Secretaría de Desarrollo Económic"&amp;"o y Competitividad
 https://drive.google.com/drive/folders/14-qDwl7x7eOF9zpDIrLQdhrZcfjDSonT?usp=sharing
 Inventario Ciclo 3: Secretaría de Gestión Administrativa - https://docs.google.com/spreadsheets/d/1XqjYW1cuSUq7vPpfgpHlC8No3Yp2-rtg/edit?usp=share_"&amp;"link&amp;ouid=109371799095710558491&amp;rtpof=true&amp;sd=true")</f>
        <v>Se cuenta con el Inventario de trámites, recopilado en el ciclo 1, 2 y 3 de racionalización que permite Identificar los trámites que generan mayores costos internos en su ejecución para la entidad. La información se encuentra en los archivos: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204" s="11">
        <f ca="1">IFERROR(__xludf.DUMMYFUNCTION("""COMPUTED_VALUE"""),44926)</f>
        <v>44926</v>
      </c>
      <c r="U204" s="10"/>
    </row>
    <row r="205" spans="1:21" ht="409.5" x14ac:dyDescent="0.2">
      <c r="A205" s="10" t="str">
        <f ca="1">IFERROR(__xludf.DUMMYFUNCTION("""COMPUTED_VALUE"""),"Gestión con valores para resultados")</f>
        <v>Gestión con valores para resultados</v>
      </c>
      <c r="B205" s="10" t="str">
        <f ca="1">IFERROR(__xludf.DUMMYFUNCTION("""COMPUTED_VALUE"""),"Racionalización de Trámites")</f>
        <v>Racionalización de Trámites</v>
      </c>
      <c r="C205" s="10" t="str">
        <f ca="1">IFERROR(__xludf.DUMMYFUNCTION("""COMPUTED_VALUE"""),"Con base en el análisis de todas las variables, priorice el conjunto de trámites a racionalizar en la vigencia, en el o los Procesos incluidos en los Ciclos de Racionalización")</f>
        <v>Con base en el análisis de todas las variables, priorice el conjunto de trámites a racionalizar en la vigencia, en el o los Procesos incluidos en los Ciclos de Racionalización</v>
      </c>
      <c r="D205" s="10" t="str">
        <f ca="1">IFERROR(__xludf.DUMMYFUNCTION("""COMPUTED_VALUE"""),"Inventario actualizado de los trámites y/o servicios a racionalizar según Ciclos de Racionalización en la Administración Municipal de Pereira")</f>
        <v>Inventario actualizado de los trámites y/o servicios a racionalizar según Ciclos de Racionalización en la Administración Municipal de Pereira</v>
      </c>
      <c r="E205" s="10" t="str">
        <f ca="1">IFERROR(__xludf.DUMMYFUNCTION("""COMPUTED_VALUE"""),"100% Inventario de Trámites y OPA actualizado y priorizado por Ciclo de Racionalización")</f>
        <v>100% Inventario de Trámites y OPA actualizado y priorizado por Ciclo de Racionalización</v>
      </c>
      <c r="F205" s="11">
        <f ca="1">IFERROR(__xludf.DUMMYFUNCTION("""COMPUTED_VALUE"""),44593)</f>
        <v>44593</v>
      </c>
      <c r="G205" s="11"/>
      <c r="H205"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5" s="12"/>
      <c r="J205" s="10" t="str">
        <f ca="1">IFERROR(__xludf.DUMMYFUNCTION("""COMPUTED_VALUE"""),"Se formula la estrategia del primer ciclo de racionalización para el año 2022 y se encuentra aprobado por el Comité Institucional de Gestión y Desempeño. Las evidencias se encuentran en las Actas de Comité de Racionalización de la Secretaría de Cultura, J"&amp;"urídica y Vivienda Social.
 Actas de Comité de racionalización con la Secretaría de Cultura, Jurídica y Vivienda: https://drive.google.com/drive/folders/1h2pvHmDH-ItNFj-I8OLHeVdiJXUVJEml?usp=sharing
 Oficio de solicitud de aprobación del ciclo: https"&amp;"://drive.google.com/file/d/1Wjm_HZLsLSlBw8oiI0v1z26qMsSmO4fY/view?usp=sharing
 Oficio de conformación del Comité de Racionalización de Trámites: https://drive.google.com/file/d/1NTmYmEPI2bX5PfR5i7eMLKm9e4LWENCd/view?usp=sharing
 Oficio de asignación d"&amp;"e delegados: https://drive.google.com/file/d/1cjqAmNfdBaK7yQ0nDp-i6xCV7PBtAUl8/view?usp=sharing")</f>
        <v>Se formula la estrategia del primer ciclo de racionalización para el año 2022 y se encuentra aprobado por el Comité Institucional de Gestión y Desempeño. Las evidencias se encuentran en las Actas de Comité de Racionalización de la Secretaría de Cultura, Jurídica y Vivienda Social.
 Actas de Comité de racionalización con la Secretaría de Cultura, Jurídica y Vivienda: https://drive.google.com/drive/folders/1h2pvHmDH-ItNFj-I8OLHeVdiJXUVJEml?usp=sharing
 Oficio de solicitud de aprobación del ciclo: https://drive.google.com/file/d/1Wjm_HZLsLSlBw8oiI0v1z26qMsSmO4fY/view?usp=sharing
 Oficio de conformación del Comité de Racionalización de Trámites: https://drive.google.com/file/d/1NTmYmEPI2bX5PfR5i7eMLKm9e4LWENCd/view?usp=sharing
 Oficio de asignación de delegados: https://drive.google.com/file/d/1cjqAmNfdBaK7yQ0nDp-i6xCV7PBtAUl8/view?usp=sharing</v>
      </c>
      <c r="K205" s="11">
        <f ca="1">IFERROR(__xludf.DUMMYFUNCTION("""COMPUTED_VALUE"""),44650)</f>
        <v>44650</v>
      </c>
      <c r="L205" s="12"/>
      <c r="M205" s="10" t="str">
        <f ca="1">IFERROR(__xludf.DUMMYFUNCTION("""COMPUTED_VALUE"""),"Para la vigencia 2022, se actualiza y prioriza el inventario del ciclo de racionalización a desarrollar, teniendo en cuenta los trámites y OPAS de mayor impacto hacia la comunidad, en cada secretaria y dependencia aprobada dentro de los ciclos. 
 Se eje"&amp;"cutará el ciclo número uno en el primer semestre del año 2022, quedando pendiente para el segundo semestre la ejecución de los ciclos 2 y 3. 
 Actas de Comité de racionalización con la Secretaría de Cultura, Jurídica y Vivienda Social: https://drive.go"&amp;"ogle.com/drive/folders/1h2pvHmDH-ItNFj-I8OLHeVdiJXUVJEml?usp=sharing")</f>
        <v>Para la vigencia 2022, se actualiza y prioriza el inventario del ciclo de racionalización a desarrollar, teniendo en cuenta los trámites y OPAS de mayor impacto hacia la comunidad, en cada secretaria y dependencia aprobada dentro de los ciclos. 
 Se ejecutará el ciclo número uno en el primer semestre del año 2022, quedando pendiente para el segundo semestre la ejecución de los ciclos 2 y 3. 
 Actas de Comité de racionalización con la Secretaría de Cultura, Jurídica y Vivienda Social: https://drive.google.com/drive/folders/1h2pvHmDH-ItNFj-I8OLHeVdiJXUVJEml?usp=sharing</v>
      </c>
      <c r="N205" s="11">
        <f ca="1">IFERROR(__xludf.DUMMYFUNCTION("""COMPUTED_VALUE"""),44742)</f>
        <v>44742</v>
      </c>
      <c r="O205" s="12">
        <f ca="1">IFERROR(__xludf.DUMMYFUNCTION("""COMPUTED_VALUE"""),0.8)</f>
        <v>0.8</v>
      </c>
      <c r="P205" s="10" t="str">
        <f ca="1">IFERROR(__xludf.DUMMYFUNCTION("""COMPUTED_VALUE"""),"Para la vigencia 2022, se actualiza y prioriza el inventario del ciclo de racionalización a desarrollar, teniendo en cuenta los trámites y OPAS de mayor impacto hacia la comunidad, en cada secretaria y dependencia aprobada dentro de los ciclos. 
 Se eje"&amp;"cutó el ciclo número uno en el primer semestre del año 2022, el segundo ciclo en el segundo semestre quedando pendiente el ciclo 3. 
 Actas de Comité de racionalización con la Secretaría de Cultura, Jurídica y Vivienda Social: https://drive.google.com/"&amp;"drive/folders/1h2pvHmDH-ItNFj-I8OLHeVdiJXUVJEml?usp=sharing
 Actas de Comité de racionalización con la Secretaría de Desarrollo Económico y Competitividad:
 https://drive.google.com/drive/folders/1j_4iKw1WAWWljMVvIN14WKNOFv0A7Uw6?usp=sharing")</f>
        <v>Para la vigencia 2022, se actualiza y prioriza el inventario del ciclo de racionalización a desarrollar, teniendo en cuenta los trámites y OPAS de mayor impacto hacia la comunidad, en cada secretaria y dependencia aprobada dentro de los ciclos. 
 Se ejecutó el ciclo número uno en el primer semestre del año 2022, el segundo ciclo en el segundo semestre quedando pendiente el ciclo 3. 
 Actas de Comité de racionalización con la Secretaría de Cultura, Jurídica y Vivienda Social: https://drive.google.com/drive/folders/1h2pvHmDH-ItNFj-I8OLHeVdiJXUVJEml?usp=sharing
 Actas de Comité de racionalización con la Secretaría de Desarrollo Económico y Competitividad:
 https://drive.google.com/drive/folders/1j_4iKw1WAWWljMVvIN14WKNOFv0A7Uw6?usp=sharing</v>
      </c>
      <c r="Q205" s="11">
        <f ca="1">IFERROR(__xludf.DUMMYFUNCTION("""COMPUTED_VALUE"""),44834)</f>
        <v>44834</v>
      </c>
      <c r="R205" s="12">
        <f ca="1">IFERROR(__xludf.DUMMYFUNCTION("""COMPUTED_VALUE"""),1)</f>
        <v>1</v>
      </c>
      <c r="S205" s="10" t="str">
        <f ca="1">IFERROR(__xludf.DUMMYFUNCTION("""COMPUTED_VALUE"""),"Para la vigencia 2022, se desarrollaron tres ciclos de racionalización, teniendo en cuenta los trámites y OPAS de mayor impacto hacia la comunidad, en cada secretaria y dependencia. 
 Se desarrolló el ciclo número uno en el primer semestre del año 2022,"&amp;" en las secretaría de Cultura, Jurídica y Vivienda Social, el ciclo dos y tres en el segundo semestre con las secretarías de Desarrollo Económico y Competitividad y Gestión Administrativa.
 Inventario Ciclo 1: Secretaría de Cultura, Jurídica y Vivienda "&amp;"Social
 https://docs.google.com/spreadsheets/d/1SVYwHi6XSse0Gb6IlxxHqQt_BnDyw-fe/edit?usp=sharing&amp;ouid=109371799095710558491&amp;rtpof=true&amp;sd=true
 Inventario Ciclo 2: Secretaría de Desarrollo Económico y Competitividad
 https://drive.google.com/drive/fold"&amp;"ers/14-qDwl7x7eOF9zpDIrLQdhrZcfjDSonT?usp=sharing
 Inventario Ciclo 3: Secretaría de Gestión Administrativa - https://docs.google.com/spreadsheets/d/1XqjYW1cuSUq7vPpfgpHlC8No3Yp2-rtg/edit?usp=share_link&amp;ouid=109371799095710558491&amp;rtpof=true&amp;sd=true")</f>
        <v>Para la vigencia 2022, se desarrollaron tres ciclos de racionalización, teniendo en cuenta los trámites y OPAS de mayor impacto hacia la comunidad, en cada secretaria y dependencia. 
 Se desarrolló el ciclo número uno en el primer semestre del año 2022, en las secretaría de Cultura, Jurídica y Vivienda Social, el ciclo dos y tres en el segundo semestre con las secretarías de Desarrollo Económico y Competitividad y Gestión Administrativa.
 Inventario Ciclo 1: Secretaría de Cultura, Jurídica y Vivienda Social
 https://docs.google.com/spreadsheets/d/1SVYwHi6XSse0Gb6IlxxHqQt_BnDyw-fe/edit?usp=sharing&amp;ouid=109371799095710558491&amp;rtpof=true&amp;sd=true
 Inventario Ciclo 2: Secretaría de Desarrollo Económico y Competitividad
 https://drive.google.com/drive/folders/14-qDwl7x7eOF9zpDIrLQdhrZcfjDSonT?usp=sharing
 Inventario Ciclo 3: Secretaría de Gestión Administrativa - https://docs.google.com/spreadsheets/d/1XqjYW1cuSUq7vPpfgpHlC8No3Yp2-rtg/edit?usp=share_link&amp;ouid=109371799095710558491&amp;rtpof=true&amp;sd=true</v>
      </c>
      <c r="T205" s="11">
        <f ca="1">IFERROR(__xludf.DUMMYFUNCTION("""COMPUTED_VALUE"""),44926)</f>
        <v>44926</v>
      </c>
      <c r="U205" s="10"/>
    </row>
    <row r="206" spans="1:21" ht="409.5" x14ac:dyDescent="0.2">
      <c r="A206" s="10" t="str">
        <f ca="1">IFERROR(__xludf.DUMMYFUNCTION("""COMPUTED_VALUE"""),"Gestión con valores para resultados")</f>
        <v>Gestión con valores para resultados</v>
      </c>
      <c r="B206" s="10" t="str">
        <f ca="1">IFERROR(__xludf.DUMMYFUNCTION("""COMPUTED_VALUE"""),"Racionalización de Trámites")</f>
        <v>Racionalización de Trámites</v>
      </c>
      <c r="C206" s="10" t="str">
        <f ca="1">IFERROR(__xludf.DUMMYFUNCTION("""COMPUTED_VALUE"""),"Formular la estrategia de Racionalización de Trámites cumpliendo con los parámetros establecidos por la Política de Racionalización de Trámites, en el o los Procesos incluidos en los Ciclos de Racionalización")</f>
        <v>Formular la estrategia de Racionalización de Trámites cumpliendo con los parámetros establecidos por la Política de Racionalización de Trámites, en el o los Procesos incluidos en los Ciclos de Racionalización</v>
      </c>
      <c r="D206" s="10" t="str">
        <f ca="1">IFERROR(__xludf.DUMMYFUNCTION("""COMPUTED_VALUE"""),"Guía Estratégica de Racionalización de Trámites y Servicios actualizada.")</f>
        <v>Guía Estratégica de Racionalización de Trámites y Servicios actualizada.</v>
      </c>
      <c r="E206" s="10" t="str">
        <f ca="1">IFERROR(__xludf.DUMMYFUNCTION("""COMPUTED_VALUE"""),"100% de la Estrategía de Racionalización actualizada")</f>
        <v>100% de la Estrategía de Racionalización actualizada</v>
      </c>
      <c r="F206" s="11">
        <f ca="1">IFERROR(__xludf.DUMMYFUNCTION("""COMPUTED_VALUE"""),44593)</f>
        <v>44593</v>
      </c>
      <c r="G206" s="11"/>
      <c r="H206"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6" s="12">
        <f ca="1">IFERROR(__xludf.DUMMYFUNCTION("""COMPUTED_VALUE"""),0.15)</f>
        <v>0.15</v>
      </c>
      <c r="J206" s="10" t="str">
        <f ca="1">IFERROR(__xludf.DUMMYFUNCTION("""COMPUTED_VALUE"""),"La estrategia de racionalización del ciclo 1 se encuentra registrada en el SUIT. En el siguiente archivo se encuentra la información detallada:
 Estrategia de Racionalización: https://docs.google.com/spreadsheets/d/130rXaE3A8t93R5yB_foW9EOrH1SsS1yC/edit"&amp;"?usp=sharing&amp;ouid=109371799095710558491&amp;rtpof=true&amp;sd=true")</f>
        <v>La estrategia de racionalización del ciclo 1 se encuentra registrada en el SUIT. En el siguiente archivo se encuentra la información detallada:
 Estrategia de Racionalización: https://docs.google.com/spreadsheets/d/130rXaE3A8t93R5yB_foW9EOrH1SsS1yC/edit?usp=sharing&amp;ouid=109371799095710558491&amp;rtpof=true&amp;sd=true</v>
      </c>
      <c r="K206" s="11">
        <f ca="1">IFERROR(__xludf.DUMMYFUNCTION("""COMPUTED_VALUE"""),44650)</f>
        <v>44650</v>
      </c>
      <c r="L206" s="12"/>
      <c r="M206" s="10" t="str">
        <f ca="1">IFERROR(__xludf.DUMMYFUNCTION("""COMPUTED_VALUE"""),"Se formula la estrategia del primer ciclo de racionalización para el año 2022 y se encuentra aprobado por el Comité Institucional de Gestión y Desempeño. Las evidencias se encuentran en las Actas de Comité de Racionalización de la Secretaría de Cultura, J"&amp;"urídica y Vivienda Social.
 Actas de Comité de racionalización con la Secretaría de Cultura, Jurídica y Vivienda: https://drive.google.com/drive/folders/1h2pvHmDH-ItNFj-I8OLHeVdiJXUVJEml?usp=sharing
 Oficio de solicitud de aprobación del ciclo: https"&amp;"://drive.google.com/file/d/1Wjm_HZLsLSlBw8oiI0v1z26qMsSmO4fY/view?usp=sharing
 Oficio de conformación del Comité de Racionalización de Trámites: https://drive.google.com/file/d/1NTmYmEPI2bX5PfR5i7eMLKm9e4LWENCd/view?usp=sharing
 Oficio de asignación d"&amp;"e delegados: https://drive.google.com/file/d/1cjqAmNfdBaK7yQ0nDp-i6xCV7PBtAUl8/view?usp=sharing")</f>
        <v>Se formula la estrategia del primer ciclo de racionalización para el año 2022 y se encuentra aprobado por el Comité Institucional de Gestión y Desempeño. Las evidencias se encuentran en las Actas de Comité de Racionalización de la Secretaría de Cultura, Jurídica y Vivienda Social.
 Actas de Comité de racionalización con la Secretaría de Cultura, Jurídica y Vivienda: https://drive.google.com/drive/folders/1h2pvHmDH-ItNFj-I8OLHeVdiJXUVJEml?usp=sharing
 Oficio de solicitud de aprobación del ciclo: https://drive.google.com/file/d/1Wjm_HZLsLSlBw8oiI0v1z26qMsSmO4fY/view?usp=sharing
 Oficio de conformación del Comité de Racionalización de Trámites: https://drive.google.com/file/d/1NTmYmEPI2bX5PfR5i7eMLKm9e4LWENCd/view?usp=sharing
 Oficio de asignación de delegados: https://drive.google.com/file/d/1cjqAmNfdBaK7yQ0nDp-i6xCV7PBtAUl8/view?usp=sharing</v>
      </c>
      <c r="N206" s="11">
        <f ca="1">IFERROR(__xludf.DUMMYFUNCTION("""COMPUTED_VALUE"""),44742)</f>
        <v>44742</v>
      </c>
      <c r="O206" s="12">
        <f ca="1">IFERROR(__xludf.DUMMYFUNCTION("""COMPUTED_VALUE"""),0.8)</f>
        <v>0.8</v>
      </c>
      <c r="P206" s="10" t="str">
        <f ca="1">IFERROR(__xludf.DUMMYFUNCTION("""COMPUTED_VALUE"""),"Se formula la estrategia del primero y segundo ciclos de racionalización para el año 2022 y se encuentra aprobado por el Comité Institucional de Gestión y Desempeño. Las evidencias se encuentran en las Actas de Comité de Racionalización de la Secretaría d"&amp;"e Cultura, Jurídica y Vivienda Social. 
 Actas de Comité de Racionalización de las Secretarías de Cultura, Jurídica y Vivienda Social: https://drive.google.com/drive/folders/1h2pvHmDH-ItNFj-I8OLHeVdiJXUVJEml?usp=sharing
 Actas de Comité de Racionaliza"&amp;"ción de Secretaría de Desarrollo Económico y Competitividad: https://drive.google.com/drive/folders/1j_4iKw1WAWWljMVvIN14WKNOFv0A7Uw6?usp=sharing
 Oficio de solicitud de aprobación del ciclo 1: https://drive.google.com/file/d/1Wjm_HZLsLSlBw8oiI0v1z26qMs"&amp;"SmO4fY/view?usp=sharing
 Oficio de conformación del Comité de Racionalización de Trámites: https://drive.google.com/file/d/1NTmYmEPI2bX5PfR5i7eMLKm9e4LWENCd/view?usp=sharing
 Oficio de asignación de delegados: https://drive.google.com/file/d/1cjqAmNfd"&amp;"BaK7yQ0nDp-i6xCV7PBtAUl8/view?usp=sharing
 Oficio de solicitud de aprobación del ciclo 2: https://drive.google.com/file/d/1LHjfh1dzXlqnSTdt1xp4Hede67mZCErA/view?usp=sharing
 Oficio de conformación del Comité de Racionalización de Trámites: https://dri"&amp;"ve.google.com/file/d/1L6Jqu3C4wecd7A8Ye3s0hQHxO5d-_c90/view?usp=sharing
 Oficio de asignación de delegados: https://drive.google.com/file/d/1t45NxkRXX9qOWu_tXpJ-t7A51zoVW5L6/view?usp=sharing")</f>
        <v>Se formula la estrategia del primero y segundo ciclos de racionalización para el año 2022 y se encuentra aprobado por el Comité Institucional de Gestión y Desempeño. Las evidencias se encuentran en las Actas de Comité de Racionalización de la Secretaría de Cultura, Jurídica y Vivienda Social. 
 Actas de Comité de Racionalización de las Secretarías de Cultura, Jurídica y Vivienda Social: https://drive.google.com/drive/folders/1h2pvHmDH-ItNFj-I8OLHeVdiJXUVJEml?usp=sharing
 Actas de Comité de Racionalización de Secretaría de Desarrollo Económico y Competitividad: https://drive.google.com/drive/folders/1j_4iKw1WAWWljMVvIN14WKNOFv0A7Uw6?usp=sharing
 Oficio de solicitud de aprobación del ciclo 1: https://drive.google.com/file/d/1Wjm_HZLsLSlBw8oiI0v1z26qMsSmO4fY/view?usp=sharing
 Oficio de conformación del Comité de Racionalización de Trámites: https://drive.google.com/file/d/1NTmYmEPI2bX5PfR5i7eMLKm9e4LWENCd/view?usp=sharing
 Oficio de asignación de delegados: https://drive.google.com/file/d/1cjqAmNfdBaK7yQ0nDp-i6xCV7PBtAUl8/view?usp=sharing
 Oficio de solicitud de aprobación del ciclo 2: https://drive.google.com/file/d/1LHjfh1dzXlqnSTdt1xp4Hede67mZCErA/view?usp=sharing
 Oficio de conformación del Comité de Racionalización de Trámites: https://drive.google.com/file/d/1L6Jqu3C4wecd7A8Ye3s0hQHxO5d-_c90/view?usp=sharing
 Oficio de asignación de delegados: https://drive.google.com/file/d/1t45NxkRXX9qOWu_tXpJ-t7A51zoVW5L6/view?usp=sharing</v>
      </c>
      <c r="Q206" s="11">
        <f ca="1">IFERROR(__xludf.DUMMYFUNCTION("""COMPUTED_VALUE"""),44834)</f>
        <v>44834</v>
      </c>
      <c r="R206" s="12">
        <f ca="1">IFERROR(__xludf.DUMMYFUNCTION("""COMPUTED_VALUE"""),1)</f>
        <v>1</v>
      </c>
      <c r="S206" s="10" t="str">
        <f ca="1">IFERROR(__xludf.DUMMYFUNCTION("""COMPUTED_VALUE"""),"Se formula la estrategia del primero, segundo y tercer ciclo de racionalización para el año 2022 y se encuentra aprobada por el Comité Institucional de Gestión y Desempeño. 
 Actas de Comité de Racionalización de las Secretarías de Cultura, Jurídica y V"&amp;"ivienda Social: https://drive.google.com/drive/folders/1h2pvHmDH-ItNFj-I8OLHeVdiJXUVJEml?usp=sharing
 Actas de Comité de Racionalización de Secretaría de Desarrollo Económico y Competitividad: https://drive.google.com/drive/folders/1j_4iKw1WAWWljMVvIN14"&amp;"WKNOFv0A7Uw6?usp=sharing
 Actas de Comité de Racionalización de Secretaría de Gestión Administrativa: https://drive.google.com/drive/folders/1kb4nlYs5LopVMaDzbhhOEvELPvRHZGZ5?usp=share_link
 Oficio de solicitud de aprobación del ciclo 1: https://drive"&amp;".google.com/file/d/1Wjm_HZLsLSlBw8oiI0v1z26qMsSmO4fY/view?usp=sharing
 Oficio de conformación del Comité de Racionalización de Trámites: https://drive.google.com/file/d/1NTmYmEPI2bX5PfR5i7eMLKm9e4LWENCd/view?usp=sharing
 Oficio de asignación de delega"&amp;"dos: https://drive.google.com/file/d/1cjqAmNfdBaK7yQ0nDp-i6xCV7PBtAUl8/view?usp=sharing
 Oficio de solicitud de aprobación del ciclo 2: https://drive.google.com/file/d/1LHjfh1dzXlqnSTdt1xp4Hede67mZCErA/view?usp=sharing
 Oficio de conformación del Comi"&amp;"té de Racionalización de Trámites: https://drive.google.com/file/d/1L6Jqu3C4wecd7A8Ye3s0hQHxO5d-_c90/view?usp=sharing
 Oficio de asignación de delegados: https://drive.google.com/file/d/1t45NxkRXX9qOWu_tXpJ-t7A51zoVW5L6/view?usp=sharing 
 Oficio de so"&amp;"licitud de aprobación del ciclo 3: https://drive.google.com/file/d/1VjvOe0hwqLPeMCep6f41n_aYxPR8dJ4k/view?usp=share_link
 Oficio de conformación del Comité de Racionalización de Trámites: 
 Oficio de asignación de delegados: https://drive.google.com/f"&amp;"ile/d/13cxoQJtgHqRPrpRp2Dwh0ADKpuI9iUSK/view?usp=share_link")</f>
        <v>Se formula la estrategia del primero, segundo y tercer ciclo de racionalización para el año 2022 y se encuentra aprobada por el Comité Institucional de Gestión y Desempeño. 
 Actas de Comité de Racionalización de las Secretarías de Cultura, Jurídica y Vivienda Social: https://drive.google.com/drive/folders/1h2pvHmDH-ItNFj-I8OLHeVdiJXUVJEml?usp=sharing
 Actas de Comité de Racionalización de Secretaría de Desarrollo Económico y Competitividad: https://drive.google.com/drive/folders/1j_4iKw1WAWWljMVvIN14WKNOFv0A7Uw6?usp=sharing
 Actas de Comité de Racionalización de Secretaría de Gestión Administrativa: https://drive.google.com/drive/folders/1kb4nlYs5LopVMaDzbhhOEvELPvRHZGZ5?usp=share_link
 Oficio de solicitud de aprobación del ciclo 1: https://drive.google.com/file/d/1Wjm_HZLsLSlBw8oiI0v1z26qMsSmO4fY/view?usp=sharing
 Oficio de conformación del Comité de Racionalización de Trámites: https://drive.google.com/file/d/1NTmYmEPI2bX5PfR5i7eMLKm9e4LWENCd/view?usp=sharing
 Oficio de asignación de delegados: https://drive.google.com/file/d/1cjqAmNfdBaK7yQ0nDp-i6xCV7PBtAUl8/view?usp=sharing
 Oficio de solicitud de aprobación del ciclo 2: https://drive.google.com/file/d/1LHjfh1dzXlqnSTdt1xp4Hede67mZCErA/view?usp=sharing
 Oficio de conformación del Comité de Racionalización de Trámites: https://drive.google.com/file/d/1L6Jqu3C4wecd7A8Ye3s0hQHxO5d-_c90/view?usp=sharing
 Oficio de asignación de delegados: https://drive.google.com/file/d/1t45NxkRXX9qOWu_tXpJ-t7A51zoVW5L6/view?usp=sharing 
 Oficio de solicitud de aprobación del ciclo 3: https://drive.google.com/file/d/1VjvOe0hwqLPeMCep6f41n_aYxPR8dJ4k/view?usp=share_link
 Oficio de conformación del Comité de Racionalización de Trámites: 
 Oficio de asignación de delegados: https://drive.google.com/file/d/13cxoQJtgHqRPrpRp2Dwh0ADKpuI9iUSK/view?usp=share_link</v>
      </c>
      <c r="T206" s="11">
        <f ca="1">IFERROR(__xludf.DUMMYFUNCTION("""COMPUTED_VALUE"""),44926)</f>
        <v>44926</v>
      </c>
      <c r="U206" s="10"/>
    </row>
    <row r="207" spans="1:21" ht="395.25" x14ac:dyDescent="0.2">
      <c r="A207" s="10" t="str">
        <f ca="1">IFERROR(__xludf.DUMMYFUNCTION("""COMPUTED_VALUE"""),"Gestión con valores para resultados")</f>
        <v>Gestión con valores para resultados</v>
      </c>
      <c r="B207" s="10" t="str">
        <f ca="1">IFERROR(__xludf.DUMMYFUNCTION("""COMPUTED_VALUE"""),"Racionalización de Trámites")</f>
        <v>Racionalización de Trámites</v>
      </c>
      <c r="C207" s="10" t="str">
        <f ca="1">IFERROR(__xludf.DUMMYFUNCTION("""COMPUTED_VALUE"""),"Registrar en el Sistema Único de Información de Trámites - SUIT la estrategia de racionalización de trámites")</f>
        <v>Registrar en el Sistema Único de Información de Trámites - SUIT la estrategia de racionalización de trámites</v>
      </c>
      <c r="D207" s="10" t="str">
        <f ca="1">IFERROR(__xludf.DUMMYFUNCTION("""COMPUTED_VALUE"""),"Registro de la estrategia de Racionalización de Trámites, en el o los Procesos incluidos en los Ciclos de Racionalización")</f>
        <v>Registro de la estrategia de Racionalización de Trámites, en el o los Procesos incluidos en los Ciclos de Racionalización</v>
      </c>
      <c r="E207" s="10" t="str">
        <f ca="1">IFERROR(__xludf.DUMMYFUNCTION("""COMPUTED_VALUE"""),"100% de la Estrategía de Racionalización registrada en el SUIT")</f>
        <v>100% de la Estrategía de Racionalización registrada en el SUIT</v>
      </c>
      <c r="F207" s="11">
        <f ca="1">IFERROR(__xludf.DUMMYFUNCTION("""COMPUTED_VALUE"""),44593)</f>
        <v>44593</v>
      </c>
      <c r="G207" s="11"/>
      <c r="H207" s="10" t="str">
        <f ca="1">IFERROR(__xludf.DUMMYFUNCTION("""COMPUTED_VALUE"""),"Director de Información y Servicios Digitales
 Comité Técnico de Racionalización de Trámites
 Administrador SUIT")</f>
        <v>Director de Información y Servicios Digitales
 Comité Técnico de Racionalización de Trámites
 Administrador SUIT</v>
      </c>
      <c r="I207" s="12">
        <f ca="1">IFERROR(__xludf.DUMMYFUNCTION("""COMPUTED_VALUE"""),0.3)</f>
        <v>0.3</v>
      </c>
      <c r="J207" s="10" t="str">
        <f ca="1">IFERROR(__xludf.DUMMYFUNCTION("""COMPUTED_VALUE"""),"La socialización de los trámites se realiza a través del Portal Web y redes sociales de la Alcaldía: 
 https://www.pereira.gov.co/tramites/
 https://www.facebook.com/AlcaldiaDePereira")</f>
        <v>La socialización de los trámites se realiza a través del Portal Web y redes sociales de la Alcaldía: 
 https://www.pereira.gov.co/tramites/
 https://www.facebook.com/AlcaldiaDePereira</v>
      </c>
      <c r="K207" s="11">
        <f ca="1">IFERROR(__xludf.DUMMYFUNCTION("""COMPUTED_VALUE"""),44650)</f>
        <v>44650</v>
      </c>
      <c r="L207" s="12">
        <f ca="1">IFERROR(__xludf.DUMMYFUNCTION("""COMPUTED_VALUE"""),0.4)</f>
        <v>0.4</v>
      </c>
      <c r="M207" s="10" t="str">
        <f ca="1">IFERROR(__xludf.DUMMYFUNCTION("""COMPUTED_VALUE"""),"La estrategia de racionalización del ciclo 1 se encuentra registrada en el SUIT. En el siguiente archivo se encuentra la información detallada:
 Estrategia de Racionalización: 
 https://drive.google.com/drive/folders/1USWv5ZiYfBI3_-uXmxsZlSHmzwl0WGya?us"&amp;"p=sharing")</f>
        <v>La estrategia de racionalización del ciclo 1 se encuentra registrada en el SUIT. En el siguiente archivo se encuentra la información detallada:
 Estrategia de Racionalización: 
 https://drive.google.com/drive/folders/1USWv5ZiYfBI3_-uXmxsZlSHmzwl0WGya?usp=sharing</v>
      </c>
      <c r="N207" s="11">
        <f ca="1">IFERROR(__xludf.DUMMYFUNCTION("""COMPUTED_VALUE"""),44742)</f>
        <v>44742</v>
      </c>
      <c r="O207" s="12">
        <f ca="1">IFERROR(__xludf.DUMMYFUNCTION("""COMPUTED_VALUE"""),0.7)</f>
        <v>0.7</v>
      </c>
      <c r="P207" s="10" t="str">
        <f ca="1">IFERROR(__xludf.DUMMYFUNCTION("""COMPUTED_VALUE"""),"La estrategia de racionalización de los ciclos 1 y 2 se encuentra registrada en el SUIT. En el siguiente archivo se encuentra la información detallada:
 Estrategia de Racionalización: https://drive.google.com/drive/folders/14-qDwl7x7eOF9zpDIrLQdhrZcfjDS"&amp;"onT?usp=sharing")</f>
        <v>La estrategia de racionalización de los ciclos 1 y 2 se encuentra registrada en el SUIT. En el siguiente archivo se encuentra la información detallada:
 Estrategia de Racionalización: https://drive.google.com/drive/folders/14-qDwl7x7eOF9zpDIrLQdhrZcfjDSonT?usp=sharing</v>
      </c>
      <c r="Q207" s="11">
        <f ca="1">IFERROR(__xludf.DUMMYFUNCTION("""COMPUTED_VALUE"""),44834)</f>
        <v>44834</v>
      </c>
      <c r="R207" s="12">
        <f ca="1">IFERROR(__xludf.DUMMYFUNCTION("""COMPUTED_VALUE"""),1)</f>
        <v>1</v>
      </c>
      <c r="S207" s="10" t="str">
        <f ca="1">IFERROR(__xludf.DUMMYFUNCTION("""COMPUTED_VALUE"""),"La estrategia de racionalización de los ciclos 1, 2 y 3 se encuentra registrada en el SUIT. En el siguiente archivo se encuentra la información detallada:
 Estrategia de Racionalización: https://docs.google.com/spreadsheets/d/1IsrzDtnaCfOyDXDGcVdYjf2-uA"&amp;"1MQjDb/edit?usp=share_link&amp;ouid=109371799095710558491&amp;rtpof=true&amp;sd=true")</f>
        <v>La estrategia de racionalización de los ciclos 1, 2 y 3 se encuentra registrada en el SUIT. En el siguiente archivo se encuentra la información detallada:
 Estrategia de Racionalización: https://docs.google.com/spreadsheets/d/1IsrzDtnaCfOyDXDGcVdYjf2-uA1MQjDb/edit?usp=share_link&amp;ouid=109371799095710558491&amp;rtpof=true&amp;sd=true</v>
      </c>
      <c r="T207" s="11">
        <f ca="1">IFERROR(__xludf.DUMMYFUNCTION("""COMPUTED_VALUE"""),44926)</f>
        <v>44926</v>
      </c>
      <c r="U207" s="10"/>
    </row>
    <row r="208" spans="1:21" ht="409.5" x14ac:dyDescent="0.2">
      <c r="A208" s="10" t="str">
        <f ca="1">IFERROR(__xludf.DUMMYFUNCTION("""COMPUTED_VALUE"""),"Gestión con valores para resultados")</f>
        <v>Gestión con valores para resultados</v>
      </c>
      <c r="B208" s="10" t="str">
        <f ca="1">IFERROR(__xludf.DUMMYFUNCTION("""COMPUTED_VALUE"""),"Racionalización de Trámites")</f>
        <v>Racionalización de Trámites</v>
      </c>
      <c r="C208" s="10" t="str">
        <f ca="1">IFERROR(__xludf.DUMMYFUNCTION("""COMPUTED_VALUE"""),"Realizar campañas de difusión y apropiación sobre los beneficios que obtienen los usuarios con las mejoras realizadas al(os) trámite(s), en el o los Procesos incluidos en los Ciclos de Racionalización")</f>
        <v>Realizar campañas de difusión y apropiación sobre los beneficios que obtienen los usuarios con las mejoras realizadas al(os) trámite(s), en el o los Procesos incluidos en los Ciclos de Racionalización</v>
      </c>
      <c r="D208" s="10" t="str">
        <f ca="1">IFERROR(__xludf.DUMMYFUNCTION("""COMPUTED_VALUE"""),"Difusión de información sobre la mejora de trámites, en el o los Procesos incluidos en los Ciclos de Racionalización")</f>
        <v>Difusión de información sobre la mejora de trámites, en el o los Procesos incluidos en los Ciclos de Racionalización</v>
      </c>
      <c r="E208" s="10" t="str">
        <f ca="1">IFERROR(__xludf.DUMMYFUNCTION("""COMPUTED_VALUE"""),"100% de campañas de difusión sobre mejoras en Trámites publicadas")</f>
        <v>100% de campañas de difusión sobre mejoras en Trámites publicadas</v>
      </c>
      <c r="F208" s="11">
        <f ca="1">IFERROR(__xludf.DUMMYFUNCTION("""COMPUTED_VALUE"""),44593)</f>
        <v>44593</v>
      </c>
      <c r="G208" s="11"/>
      <c r="H208" s="10" t="str">
        <f ca="1">IFERROR(__xludf.DUMMYFUNCTION("""COMPUTED_VALUE"""),"Director de Información y Servicios Digitales
 Comité Técnico de Racionalización de Trámites
 Comunicaciones")</f>
        <v>Director de Información y Servicios Digitales
 Comité Técnico de Racionalización de Trámites
 Comunicaciones</v>
      </c>
      <c r="I208" s="12">
        <f ca="1">IFERROR(__xludf.DUMMYFUNCTION("""COMPUTED_VALUE"""),0.7)</f>
        <v>0.7</v>
      </c>
      <c r="J208" s="10" t="str">
        <f ca="1">IFERROR(__xludf.DUMMYFUNCTION("""COMPUTED_VALUE"""),"Se define el inventario de trámites, opas y consultas que ofrece la entidad teniendo en cuenta sus objetivos.
 Inventario de trámites y opas: https://docs.google.com/spreadsheets/d/14AkkI-X0Wn-DFyt0zhvKqyc4XxgQRo5B/edit?usp=sharing&amp;ouid=1093717990957105"&amp;"58491&amp;rtpof=true&amp;sd=true")</f>
        <v>Se define el inventario de trámites, opas y consultas que ofrece la entidad teniendo en cuenta sus objetivos.
 Inventario de trámites y opas: https://docs.google.com/spreadsheets/d/14AkkI-X0Wn-DFyt0zhvKqyc4XxgQRo5B/edit?usp=sharing&amp;ouid=109371799095710558491&amp;rtpof=true&amp;sd=true</v>
      </c>
      <c r="K208" s="11">
        <f ca="1">IFERROR(__xludf.DUMMYFUNCTION("""COMPUTED_VALUE"""),44650)</f>
        <v>44650</v>
      </c>
      <c r="L208" s="12">
        <f ca="1">IFERROR(__xludf.DUMMYFUNCTION("""COMPUTED_VALUE"""),0.6)</f>
        <v>0.6</v>
      </c>
      <c r="M208" s="10" t="str">
        <f ca="1">IFERROR(__xludf.DUMMYFUNCTION("""COMPUTED_VALUE"""),"La socialización de los trámites se realiza a través del Portal Web y redes sociales de la Alcaldía: 
 https://www.pereira.gov.co/tramites/
 Enlaces de publicaciones redes sociales
 Trámites en Línea
 Boletines: https://us16.campaign-archive.com/?e=[U"&amp;"NIQID]&amp;u=4deb89a7cfea9f8fc30c4382f&amp;id=6db65c8104
 Redes sociales: https://www.instagram.com/p/CcDnXc1lDlD/?igshid=YmMyMTA2M2Y%3D
 Video Trámites en Línea
 Redes sociales: https://www.facebook.com/AlcaldiaDePereira/videos/347266120833644
 https://www.ins"&amp;"tagram.com/p/CbvWGVejRtn/")</f>
        <v>La socialización de los trámites se realiza a través del Portal Web y redes sociales de la Alcaldía: 
 https://www.pereira.gov.co/tramites/
 Enlaces de publicaciones redes sociales
 Trámites en Línea
 Boletines: https://us16.campaign-archive.com/?e=[UNIQID]&amp;u=4deb89a7cfea9f8fc30c4382f&amp;id=6db65c8104
 Redes sociales: https://www.instagram.com/p/CcDnXc1lDlD/?igshid=YmMyMTA2M2Y%3D
 Video Trámites en Línea
 Redes sociales: https://www.facebook.com/AlcaldiaDePereira/videos/347266120833644
 https://www.instagram.com/p/CbvWGVejRtn/</v>
      </c>
      <c r="N208" s="11">
        <f ca="1">IFERROR(__xludf.DUMMYFUNCTION("""COMPUTED_VALUE"""),44742)</f>
        <v>44742</v>
      </c>
      <c r="O208" s="12">
        <f ca="1">IFERROR(__xludf.DUMMYFUNCTION("""COMPUTED_VALUE"""),0.8)</f>
        <v>0.8</v>
      </c>
      <c r="P208" s="10" t="str">
        <f ca="1">IFERROR(__xludf.DUMMYFUNCTION("""COMPUTED_VALUE"""),"La socialización de los trámites se realiza a través del Portal Web y redes sociales de la Alcaldía: 
 Trámites y Servicios: https://www.pereira.gov.co/tramites/
 Publicación de video de tramites en línea
 Redes secretario TIC: https://www.instagram.c"&amp;"om/p/CdWCsp9Apgz/
 Redes alcaldía de Pereira: https://www.facebook.com/AlcaldiaDePereira/videos/347266120833644
 Redes alcaldía de Pereira: https://www.instagram.com/p/CbvWGVejRtn/
 Boletines
 https://us16.campaign-archive.com/?e=[UNIQID]&amp;u=4deb89a7cf"&amp;"ea9f8fc30c4382f&amp;id=6db65c8104
 Redes alcaldía de Pereira: https://www.instagram.com/p/CcDnXc1lDlD/?igshid=YmMyMTA2M2Y%3D")</f>
        <v>La socialización de los trámites se realiza a través del Portal Web y redes sociales de la Alcaldía: 
 Trámites y Servicios: https://www.pereira.gov.co/tramites/
 Publicación de video de tramites en línea
 Redes secretario TIC: https://www.instagram.com/p/CdWCsp9Apgz/
 Redes alcaldía de Pereira: https://www.facebook.com/AlcaldiaDePereira/videos/347266120833644
 Redes alcaldía de Pereira: https://www.instagram.com/p/CbvWGVejRtn/
 Boletines
 https://us16.campaign-archive.com/?e=[UNIQID]&amp;u=4deb89a7cfea9f8fc30c4382f&amp;id=6db65c8104
 Redes alcaldía de Pereira: https://www.instagram.com/p/CcDnXc1lDlD/?igshid=YmMyMTA2M2Y%3D</v>
      </c>
      <c r="Q208" s="11">
        <f ca="1">IFERROR(__xludf.DUMMYFUNCTION("""COMPUTED_VALUE"""),44834)</f>
        <v>44834</v>
      </c>
      <c r="R208" s="12">
        <f ca="1">IFERROR(__xludf.DUMMYFUNCTION("""COMPUTED_VALUE"""),1)</f>
        <v>1</v>
      </c>
      <c r="S208" s="10" t="str">
        <f ca="1">IFERROR(__xludf.DUMMYFUNCTION("""COMPUTED_VALUE"""),"La socialización de los trámites se realiza a través del Portal Web y redes sociales de la Alcaldía: 
 Trámites y Servicios: https://www.pereira.gov.co/tramites/
 Publicación de video de tramites en línea
 Redes secretario TIC: https://www.instagram.c"&amp;"om/p/CdWCsp9Apgz/
 Redes alcaldía de Pereira: https://www.facebook.com/AlcaldiaDePereira/videos/347266120833644
 Redes alcaldía de Pereira: https://www.instagram.com/p/CbvWGVejRtn/
 Boletines
 https://us16.campaign-archive.com/?e=[UNIQID]&amp;u=4deb89a7cf"&amp;"ea9f8fc30c4382f&amp;id=6db65c8104
 Redes alcaldía de Pereira: https://www.instagram.com/p/CcDnXc1lDlD/?igshid=YmMyMTA2M2Y%3D")</f>
        <v>La socialización de los trámites se realiza a través del Portal Web y redes sociales de la Alcaldía: 
 Trámites y Servicios: https://www.pereira.gov.co/tramites/
 Publicación de video de tramites en línea
 Redes secretario TIC: https://www.instagram.com/p/CdWCsp9Apgz/
 Redes alcaldía de Pereira: https://www.facebook.com/AlcaldiaDePereira/videos/347266120833644
 Redes alcaldía de Pereira: https://www.instagram.com/p/CbvWGVejRtn/
 Boletines
 https://us16.campaign-archive.com/?e=[UNIQID]&amp;u=4deb89a7cfea9f8fc30c4382f&amp;id=6db65c8104
 Redes alcaldía de Pereira: https://www.instagram.com/p/CcDnXc1lDlD/?igshid=YmMyMTA2M2Y%3D</v>
      </c>
      <c r="T208" s="11">
        <f ca="1">IFERROR(__xludf.DUMMYFUNCTION("""COMPUTED_VALUE"""),44926)</f>
        <v>44926</v>
      </c>
      <c r="U208" s="10"/>
    </row>
    <row r="209" spans="1:21" ht="267.75" x14ac:dyDescent="0.2">
      <c r="A209" s="10" t="str">
        <f ca="1">IFERROR(__xludf.DUMMYFUNCTION("""COMPUTED_VALUE"""),"Gestión con valores para resultados")</f>
        <v>Gestión con valores para resultados</v>
      </c>
      <c r="B209" s="10" t="str">
        <f ca="1">IFERROR(__xludf.DUMMYFUNCTION("""COMPUTED_VALUE"""),"Racionalización de Trámites")</f>
        <v>Racionalización de Trámites</v>
      </c>
      <c r="C209" s="10" t="str">
        <f ca="1">IFERROR(__xludf.DUMMYFUNCTION("""COMPUTED_VALUE"""),"Definir los trámites que ofrece la entidad teniendo en cuenta sus objetivos")</f>
        <v>Definir los trámites que ofrece la entidad teniendo en cuenta sus objetivos</v>
      </c>
      <c r="D209" s="10" t="str">
        <f ca="1">IFERROR(__xludf.DUMMYFUNCTION("""COMPUTED_VALUE"""),"Inventario de Trámites y OPA de la entidad actualizado")</f>
        <v>Inventario de Trámites y OPA de la entidad actualizado</v>
      </c>
      <c r="E209" s="10" t="str">
        <f ca="1">IFERROR(__xludf.DUMMYFUNCTION("""COMPUTED_VALUE"""),"100% Inventario de Trámites y OPA de la entidad actualizado")</f>
        <v>100% Inventario de Trámites y OPA de la entidad actualizado</v>
      </c>
      <c r="F209" s="11">
        <f ca="1">IFERROR(__xludf.DUMMYFUNCTION("""COMPUTED_VALUE"""),44593)</f>
        <v>44593</v>
      </c>
      <c r="G209" s="11"/>
      <c r="H209" s="10" t="str">
        <f ca="1">IFERROR(__xludf.DUMMYFUNCTION("""COMPUTED_VALUE"""),"Director de Información y Servicios Digitales
 Comité Técnico de Racionalización de Trámites")</f>
        <v>Director de Información y Servicios Digitales
 Comité Técnico de Racionalización de Trámites</v>
      </c>
      <c r="I209" s="12">
        <f ca="1">IFERROR(__xludf.DUMMYFUNCTION("""COMPUTED_VALUE"""),0.3)</f>
        <v>0.3</v>
      </c>
      <c r="J209" s="10" t="str">
        <f ca="1">IFERROR(__xludf.DUMMYFUNCTION("""COMPUTED_VALUE"""),"Se priorizan los trámites a racionalizar a partir de las necesidades planteadas por los usuarios en las encuestas.
 Estrategia de racionalización: https://docs.google.com/spreadsheets/d/130rXaE3A8t93R5yB_foW9EOrH1SsS1yC/edit?usp=sharing&amp;ouid=10937179909"&amp;"5710558491&amp;rtpof=true&amp;sd=true")</f>
        <v>Se priorizan los trámites a racionalizar a partir de las necesidades planteadas por los usuarios en las encuestas.
 Estrategia de racionalización: https://docs.google.com/spreadsheets/d/130rXaE3A8t93R5yB_foW9EOrH1SsS1yC/edit?usp=sharing&amp;ouid=109371799095710558491&amp;rtpof=true&amp;sd=true</v>
      </c>
      <c r="K209" s="11">
        <f ca="1">IFERROR(__xludf.DUMMYFUNCTION("""COMPUTED_VALUE"""),44650)</f>
        <v>44650</v>
      </c>
      <c r="L209" s="12">
        <f ca="1">IFERROR(__xludf.DUMMYFUNCTION("""COMPUTED_VALUE"""),0.8)</f>
        <v>0.8</v>
      </c>
      <c r="M209" s="10" t="str">
        <f ca="1">IFERROR(__xludf.DUMMYFUNCTION("""COMPUTED_VALUE"""),"Se define el inventario de trámites, opas y consultas que ofrece la entidad teniendo en cuenta sus objetivos.
 Inventario de trámites y opas: https://docs.google.com/spreadsheets/d/14AkkI-X0Wn-DFyt0zhvKqyc4XxgQRo5B/edit?usp=sharing&amp;ouid=1093717990957105"&amp;"58491&amp;rtpof=true&amp;sd=true")</f>
        <v>Se define el inventario de trámites, opas y consultas que ofrece la entidad teniendo en cuenta sus objetivos.
 Inventario de trámites y opas: https://docs.google.com/spreadsheets/d/14AkkI-X0Wn-DFyt0zhvKqyc4XxgQRo5B/edit?usp=sharing&amp;ouid=109371799095710558491&amp;rtpof=true&amp;sd=true</v>
      </c>
      <c r="N209" s="11">
        <f ca="1">IFERROR(__xludf.DUMMYFUNCTION("""COMPUTED_VALUE"""),44742)</f>
        <v>44742</v>
      </c>
      <c r="O209" s="12">
        <f ca="1">IFERROR(__xludf.DUMMYFUNCTION("""COMPUTED_VALUE"""),0.9)</f>
        <v>0.9</v>
      </c>
      <c r="P209" s="10" t="str">
        <f ca="1">IFERROR(__xludf.DUMMYFUNCTION("""COMPUTED_VALUE"""),"Se define el inventario de trámites, opas y consultas que ofrece la entidad teniendo en cuenta sus objetivos.
 Inventario de trámites y opas: https://drive.google.com/drive/folders/14-qDwl7x7eOF9zpDIrLQdhrZcfjDSonT?usp=sharing")</f>
        <v>Se define el inventario de trámites, opas y consultas que ofrece la entidad teniendo en cuenta sus objetivos.
 Inventario de trámites y opas: https://drive.google.com/drive/folders/14-qDwl7x7eOF9zpDIrLQdhrZcfjDSonT?usp=sharing</v>
      </c>
      <c r="Q209" s="11">
        <f ca="1">IFERROR(__xludf.DUMMYFUNCTION("""COMPUTED_VALUE"""),44834)</f>
        <v>44834</v>
      </c>
      <c r="R209" s="12">
        <f ca="1">IFERROR(__xludf.DUMMYFUNCTION("""COMPUTED_VALUE"""),1)</f>
        <v>1</v>
      </c>
      <c r="S209" s="10" t="str">
        <f ca="1">IFERROR(__xludf.DUMMYFUNCTION("""COMPUTED_VALUE"""),"Se define el inventario de trámites, opas y consultas que ofrece la entidad teniendo en cuenta sus objetivos.
 Inventario de trámites y opas: https://drive.google.com/drive/folders/14-qDwl7x7eOF9zpDIrLQdhrZcfjDSonT?usp=sharing")</f>
        <v>Se define el inventario de trámites, opas y consultas que ofrece la entidad teniendo en cuenta sus objetivos.
 Inventario de trámites y opas: https://drive.google.com/drive/folders/14-qDwl7x7eOF9zpDIrLQdhrZcfjDSonT?usp=sharing</v>
      </c>
      <c r="T209" s="11">
        <f ca="1">IFERROR(__xludf.DUMMYFUNCTION("""COMPUTED_VALUE"""),44926)</f>
        <v>44926</v>
      </c>
      <c r="U209" s="10"/>
    </row>
    <row r="210" spans="1:21" ht="344.25" x14ac:dyDescent="0.2">
      <c r="A210" s="10" t="str">
        <f ca="1">IFERROR(__xludf.DUMMYFUNCTION("""COMPUTED_VALUE"""),"Gestión con valores para resultados")</f>
        <v>Gestión con valores para resultados</v>
      </c>
      <c r="B210" s="10" t="str">
        <f ca="1">IFERROR(__xludf.DUMMYFUNCTION("""COMPUTED_VALUE"""),"Racionalización de Trámites")</f>
        <v>Racionalización de Trámites</v>
      </c>
      <c r="C210" s="10" t="str">
        <f ca="1">IFERROR(__xludf.DUMMYFUNCTION("""COMPUTED_VALUE"""),"Priorizar los trámites a racionalizar a partir de las necesidades y expectativas de los ciudadanos")</f>
        <v>Priorizar los trámites a racionalizar a partir de las necesidades y expectativas de los ciudadanos</v>
      </c>
      <c r="D210" s="10" t="str">
        <f ca="1">IFERROR(__xludf.DUMMYFUNCTION("""COMPUTED_VALUE"""),"Registro de los trámites priorizados como producto de los Ciclos de Racionalización")</f>
        <v>Registro de los trámites priorizados como producto de los Ciclos de Racionalización</v>
      </c>
      <c r="E210" s="10" t="str">
        <f ca="1">IFERROR(__xludf.DUMMYFUNCTION("""COMPUTED_VALUE"""),"100% Inventario de Trámites y OPA de la entidad actualizado")</f>
        <v>100% Inventario de Trámites y OPA de la entidad actualizado</v>
      </c>
      <c r="F210" s="11">
        <f ca="1">IFERROR(__xludf.DUMMYFUNCTION("""COMPUTED_VALUE"""),44593)</f>
        <v>44593</v>
      </c>
      <c r="G210" s="11"/>
      <c r="H210" s="10" t="str">
        <f ca="1">IFERROR(__xludf.DUMMYFUNCTION("""COMPUTED_VALUE"""),"Director de Información y Servicios Digitales
 Comité Técnico de Racionalización de Trámites")</f>
        <v>Director de Información y Servicios Digitales
 Comité Técnico de Racionalización de Trámites</v>
      </c>
      <c r="I210" s="12"/>
      <c r="J210" s="10"/>
      <c r="K210" s="11"/>
      <c r="L210" s="12">
        <f ca="1">IFERROR(__xludf.DUMMYFUNCTION("""COMPUTED_VALUE"""),0.6)</f>
        <v>0.6</v>
      </c>
      <c r="M210" s="10" t="str">
        <f ca="1">IFERROR(__xludf.DUMMYFUNCTION("""COMPUTED_VALUE"""),"Se priorizan los trámites a racionalizar a partir de las necesidades planteadas por los usuarios en las encuestas.
 Estrategia de racionalización: 
 https://drive.google.com/drive/folders/1USWv5ZiYfBI3_-uXmxsZlSHmzwl0WGya?usp=sharing")</f>
        <v>Se priorizan los trámites a racionalizar a partir de las necesidades planteadas por los usuarios en las encuestas.
 Estrategia de racionalización: 
 https://drive.google.com/drive/folders/1USWv5ZiYfBI3_-uXmxsZlSHmzwl0WGya?usp=sharing</v>
      </c>
      <c r="N210" s="11">
        <f ca="1">IFERROR(__xludf.DUMMYFUNCTION("""COMPUTED_VALUE"""),44742)</f>
        <v>44742</v>
      </c>
      <c r="O210" s="12">
        <f ca="1">IFERROR(__xludf.DUMMYFUNCTION("""COMPUTED_VALUE"""),0.8)</f>
        <v>0.8</v>
      </c>
      <c r="P210" s="10" t="str">
        <f ca="1">IFERROR(__xludf.DUMMYFUNCTION("""COMPUTED_VALUE"""),"Se priorizan los trámites a racionalizar a partir de las necesidades planteadas por los usuarios en las encuestas.
 Estrategia de racionalización: https://drive.google.com/drive/folders/14-qDwl7x7eOF9zpDIrLQdhrZcfjDSonT?usp=sharing")</f>
        <v>Se priorizan los trámites a racionalizar a partir de las necesidades planteadas por los usuarios en las encuestas.
 Estrategia de racionalización: https://drive.google.com/drive/folders/14-qDwl7x7eOF9zpDIrLQdhrZcfjDSonT?usp=sharing</v>
      </c>
      <c r="Q210" s="11">
        <f ca="1">IFERROR(__xludf.DUMMYFUNCTION("""COMPUTED_VALUE"""),44834)</f>
        <v>44834</v>
      </c>
      <c r="R210" s="12">
        <f ca="1">IFERROR(__xludf.DUMMYFUNCTION("""COMPUTED_VALUE"""),1)</f>
        <v>1</v>
      </c>
      <c r="S210" s="10" t="str">
        <f ca="1">IFERROR(__xludf.DUMMYFUNCTION("""COMPUTED_VALUE"""),"Se priorizan los trámites a racionalizar a partir de las necesidades planteadas por los usuarios en las encuestas.
 Estrategia de racionalización: https://docs.google.com/spreadsheets/d/1IsrzDtnaCfOyDXDGcVdYjf2-uA1MQjDb/edit?usp=share_link&amp;ouid=10937179"&amp;"9095710558491&amp;rtpof=true&amp;sd=true")</f>
        <v>Se priorizan los trámites a racionalizar a partir de las necesidades planteadas por los usuarios en las encuestas.
 Estrategia de racionalización: https://docs.google.com/spreadsheets/d/1IsrzDtnaCfOyDXDGcVdYjf2-uA1MQjDb/edit?usp=share_link&amp;ouid=109371799095710558491&amp;rtpof=true&amp;sd=true</v>
      </c>
      <c r="T210" s="11">
        <f ca="1">IFERROR(__xludf.DUMMYFUNCTION("""COMPUTED_VALUE"""),44926)</f>
        <v>44926</v>
      </c>
      <c r="U210" s="10"/>
    </row>
    <row r="211" spans="1:21" ht="409.5" x14ac:dyDescent="0.2">
      <c r="A211" s="10" t="str">
        <f ca="1">IFERROR(__xludf.DUMMYFUNCTION("""COMPUTED_VALUE"""),"Gestión con valores para resultados")</f>
        <v>Gestión con valores para resultados</v>
      </c>
      <c r="B211" s="10" t="str">
        <f ca="1">IFERROR(__xludf.DUMMYFUNCTION("""COMPUTED_VALUE"""),"Participación Ciudadana en la Gestión Pública - Rendición de Cuentas")</f>
        <v>Participación Ciudadana en la Gestión Pública - Rendición de Cuentas</v>
      </c>
      <c r="C211" s="10" t="str">
        <f ca="1">IFERROR(__xludf.DUMMYFUNCTION("""COMPUTED_VALUE"""),"Identificar las necesidades de los grupos de valor en materia de información disponible así como de los canales de publicación y difusión existentes. Clasificando la información a partir de los siguientes criterios:
 • la gestión realizada, 
 • los result"&amp;"ados de la gestión y 
 • el avance en la garantía de derechos.")</f>
        <v>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v>
      </c>
      <c r="D211" s="10" t="str">
        <f ca="1">IFERROR(__xludf.DUMMYFUNCTION("""COMPUTED_VALUE"""),"Matriz de caracterización de las necesidades de los grupos de valor en matería de información disponible así como los canales de publicación y difusión establecidos.")</f>
        <v>Matriz de caracterización de las necesidades de los grupos de valor en matería de información disponible así como los canales de publicación y difusión establecidos.</v>
      </c>
      <c r="E211" s="10" t="str">
        <f ca="1">IFERROR(__xludf.DUMMYFUNCTION("""COMPUTED_VALUE"""),"Una matriz de caracterización de necesidades proyectado / Una matriz de caracterizaicón de necesidades elaborado.")</f>
        <v>Una matriz de caracterización de necesidades proyectado / Una matriz de caracterizaicón de necesidades elaborado.</v>
      </c>
      <c r="F211" s="11">
        <f ca="1">IFERROR(__xludf.DUMMYFUNCTION("""COMPUTED_VALUE"""),44564)</f>
        <v>44564</v>
      </c>
      <c r="G211" s="11">
        <f ca="1">IFERROR(__xludf.DUMMYFUNCTION("""COMPUTED_VALUE"""),44925)</f>
        <v>44925</v>
      </c>
      <c r="H211" s="10" t="str">
        <f ca="1">IFERROR(__xludf.DUMMYFUNCTION("""COMPUTED_VALUE"""),"Asesor de Prensa y Comunicaciones")</f>
        <v>Asesor de Prensa y Comunicaciones</v>
      </c>
      <c r="I211" s="12">
        <f ca="1">IFERROR(__xludf.DUMMYFUNCTION("""COMPUTED_VALUE"""),0)</f>
        <v>0</v>
      </c>
      <c r="J211" s="10" t="str">
        <f ca="1">IFERROR(__xludf.DUMMYFUNCTION("""COMPUTED_VALUE"""),"Se suministrará la información de la gestión a los diferentes grupos de valor en materia de información disponible, así mismo se dispondrán de los canales de publicación y difusión existentes para los grupos de interés como los resultados de la gestión y "&amp;"avance.")</f>
        <v>Se suministrará la información de la gestión a los diferentes grupos de valor en materia de información disponible, así mismo se dispondrán de los canales de publicación y difusión existentes para los grupos de interés como los resultados de la gestión y avance.</v>
      </c>
      <c r="K211" s="11">
        <f ca="1">IFERROR(__xludf.DUMMYFUNCTION("""COMPUTED_VALUE"""),44651)</f>
        <v>44651</v>
      </c>
      <c r="L211" s="12">
        <f ca="1">IFERROR(__xludf.DUMMYFUNCTION("""COMPUTED_VALUE"""),0)</f>
        <v>0</v>
      </c>
      <c r="M211" s="10" t="str">
        <f ca="1">IFERROR(__xludf.DUMMYFUNCTION("""COMPUTED_VALUE"""),"Se suministrará la información de la gestión a los diferentes grupos de valor de acuerdo a la caracterización que se realizó de la población beneficiaria, en materia de información disponible, así mismo se dispondrán de los canales de publicación necesari"&amp;"os para la difusión de dichos grupos de interés como los resultados de la gestión y avance.")</f>
        <v>Se suministrará la información de la gestión a los diferentes grupos de valor de acuerdo a la caracterización que se realizó de la población beneficiaria, en materia de información disponible, así mismo se dispondrán de los canales de publicación necesarios para la difusión de dichos grupos de interés como los resultados de la gestión y avance.</v>
      </c>
      <c r="N211" s="11">
        <f ca="1">IFERROR(__xludf.DUMMYFUNCTION("""COMPUTED_VALUE"""),44742)</f>
        <v>44742</v>
      </c>
      <c r="O211" s="12">
        <f ca="1">IFERROR(__xludf.DUMMYFUNCTION("""COMPUTED_VALUE"""),0)</f>
        <v>0</v>
      </c>
      <c r="P211" s="10" t="str">
        <f ca="1">IFERROR(__xludf.DUMMYFUNCTION("""COMPUTED_VALUE"""),"Se suministrará la información de la gestión a los diferentes grupos de valor de acuerdo a la caracterización que se realizó de la población beneficiaria, en materia de información disponible; así mismo, se dispondrán de los canales de publicación necesar"&amp;"ios para la difusión de dichos grupos de interés como los resultados de la gestión y avance.")</f>
        <v>Se suministrará la información de la gestión a los diferentes grupos de valor de acuerdo a la caracterización que se realizó de la población beneficiaria, en materia de información disponible; así mismo, se dispondrán de los canales de publicación necesarios para la difusión de dichos grupos de interés como los resultados de la gestión y avance.</v>
      </c>
      <c r="Q211" s="11">
        <f ca="1">IFERROR(__xludf.DUMMYFUNCTION("""COMPUTED_VALUE"""),44834)</f>
        <v>44834</v>
      </c>
      <c r="R211" s="12">
        <f ca="1">IFERROR(__xludf.DUMMYFUNCTION("""COMPUTED_VALUE"""),1)</f>
        <v>1</v>
      </c>
      <c r="S211" s="10" t="str">
        <f ca="1">IFERROR(__xludf.DUMMYFUNCTION("""COMPUTED_VALUE"""),"Se suministrará la información de la gestión a los diferentes grupos de valor de acuerdo a la caracterización que se realizó de la población beneficiaria, en materia de información disponible; así mismo, se dispondrán de los canales de publicación necesar"&amp;"ios para la difusión de dichos grupos de interés como los resultados de la gestión y avance. 
https://drive.google.com/drive/folders/1aj-6SNAmrv5Tuy1QPlDJkPyj9Vv0Vjv4?usp=sharing")</f>
        <v>Se suministrará la información de la gestión a los diferentes grupos de valor de acuerdo a la caracterización que se realizó de la población beneficiaria, en materia de información disponible; así mismo, se dispondrán de los canales de publicación necesarios para la difusión de dichos grupos de interés como los resultados de la gestión y avance. 
https://drive.google.com/drive/folders/1aj-6SNAmrv5Tuy1QPlDJkPyj9Vv0Vjv4?usp=sharing</v>
      </c>
      <c r="T211" s="11">
        <f ca="1">IFERROR(__xludf.DUMMYFUNCTION("""COMPUTED_VALUE"""),44925)</f>
        <v>44925</v>
      </c>
      <c r="U211" s="10"/>
    </row>
    <row r="212" spans="1:21" ht="409.5" x14ac:dyDescent="0.2">
      <c r="A212" s="10" t="str">
        <f ca="1">IFERROR(__xludf.DUMMYFUNCTION("""COMPUTED_VALUE"""),"Gestión con valores para resultados")</f>
        <v>Gestión con valores para resultados</v>
      </c>
      <c r="B212" s="10" t="str">
        <f ca="1">IFERROR(__xludf.DUMMYFUNCTION("""COMPUTED_VALUE"""),"Participación Ciudadana en la Gestión Pública - Rendición de Cuentas")</f>
        <v>Participación Ciudadana en la Gestión Pública - Rendición de Cuentas</v>
      </c>
      <c r="C212" s="10" t="str">
        <f ca="1">IFERROR(__xludf.DUMMYFUNCTION("""COMPUTED_VALUE"""),"Definir, de acuerdo al diagnóstico y la priorización de programas, proyectos y servicios, los espacios de diálogo presenciales de rendición de cuentas y los mecanismos virtuales complementarios en temas específicos de interés especial que implementará la "&amp;"entidad durante la vigencia.")</f>
        <v>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v>
      </c>
      <c r="D212" s="10" t="str">
        <f ca="1">IFERROR(__xludf.DUMMYFUNCTION("""COMPUTED_VALUE"""),"Se brindará los espacios de diálogo presenciales de rendición de cuentas y los mecanismos virtuales.")</f>
        <v>Se brindará los espacios de diálogo presenciales de rendición de cuentas y los mecanismos virtuales.</v>
      </c>
      <c r="E212" s="10" t="str">
        <f ca="1">IFERROR(__xludf.DUMMYFUNCTION("""COMPUTED_VALUE"""),"Espacio presencial dispuesto y mecanismos virtuales")</f>
        <v>Espacio presencial dispuesto y mecanismos virtuales</v>
      </c>
      <c r="F212" s="11">
        <f ca="1">IFERROR(__xludf.DUMMYFUNCTION("""COMPUTED_VALUE"""),44564)</f>
        <v>44564</v>
      </c>
      <c r="G212" s="11">
        <f ca="1">IFERROR(__xludf.DUMMYFUNCTION("""COMPUTED_VALUE"""),44925)</f>
        <v>44925</v>
      </c>
      <c r="H212" s="10" t="str">
        <f ca="1">IFERROR(__xludf.DUMMYFUNCTION("""COMPUTED_VALUE"""),"Asesor de Prensa y Comunicaciones")</f>
        <v>Asesor de Prensa y Comunicaciones</v>
      </c>
      <c r="I212" s="12">
        <f ca="1">IFERROR(__xludf.DUMMYFUNCTION("""COMPUTED_VALUE"""),0)</f>
        <v>0</v>
      </c>
      <c r="J212" s="10" t="str">
        <f ca="1">IFERROR(__xludf.DUMMYFUNCTION("""COMPUTED_VALUE"""),"Se dispondrán de espacios de diálogo presenciales de rendición de cuentas y los mecanismos virtuales complementarios en temas específicos de interés (Redes sociales, boletines informativos, eventos, pautas publicitarias) especial que implementará la entid"&amp;"ad durante la vigencia.")</f>
        <v>Se dispondrán de espacios de diálogo presenciales de rendición de cuentas y los mecanismos virtuales complementarios en temas específicos de interés (Redes sociales, boletines informativos, eventos, pautas publicitarias) especial que implementará la entidad durante la vigencia.</v>
      </c>
      <c r="K212" s="11">
        <f ca="1">IFERROR(__xludf.DUMMYFUNCTION("""COMPUTED_VALUE"""),44651)</f>
        <v>44651</v>
      </c>
      <c r="L212" s="12">
        <f ca="1">IFERROR(__xludf.DUMMYFUNCTION("""COMPUTED_VALUE"""),0)</f>
        <v>0</v>
      </c>
      <c r="M212" s="10" t="str">
        <f ca="1">IFERROR(__xludf.DUMMYFUNCTION("""COMPUTED_VALUE"""),"Se dispondrán de espacios de diálogo presenciales de rendición de cuentas y los mecanismos virtuales complementarios en temas específicos de interés (Redes sociales, boletines informativos, eventos, pautas publicitarias) especial que implementará la entid"&amp;"ad durante la vigencia.")</f>
        <v>Se dispondrán de espacios de diálogo presenciales de rendición de cuentas y los mecanismos virtuales complementarios en temas específicos de interés (Redes sociales, boletines informativos, eventos, pautas publicitarias) especial que implementará la entidad durante la vigencia.</v>
      </c>
      <c r="N212" s="11">
        <f ca="1">IFERROR(__xludf.DUMMYFUNCTION("""COMPUTED_VALUE"""),44742)</f>
        <v>44742</v>
      </c>
      <c r="O212" s="12">
        <f ca="1">IFERROR(__xludf.DUMMYFUNCTION("""COMPUTED_VALUE"""),0.3)</f>
        <v>0.3</v>
      </c>
      <c r="P212" s="10" t="str">
        <f ca="1">IFERROR(__xludf.DUMMYFUNCTION("""COMPUTED_VALUE"""),"Se dispondrán de espacios de diálogo presenciales de rendición de cuentas y los mecanismos virtuales complementarios en temas específicos de interés (Redes sociales, boletines informativos, eventos, pautas publicitarias) especial que implementará la entid"&amp;"ad durante la vigencia. De igual forma la fecha programada para la realización de la rendición de cuentas es el 2 de noviembre de 2022 en expofuturo y será transmitido a través de redes sociales.  https://drive.google.com/drive/folders/1eZ3YbfEVRMxY-wGRcz"&amp;"F7xN-CvGWtqiA1?usp=sharing")</f>
        <v>Se dispondrán de espacios de diálogo presenciales de rendición de cuentas y los mecanismos virtuales complementarios en temas específicos de interés (Redes sociales, boletines informativos, eventos, pautas publicitarias) especial que implementará la entidad durante la vigencia. De igual forma la fecha programada para la realización de la rendición de cuentas es el 2 de noviembre de 2022 en expofuturo y será transmitido a través de redes sociales.  https://drive.google.com/drive/folders/1eZ3YbfEVRMxY-wGRczF7xN-CvGWtqiA1?usp=sharing</v>
      </c>
      <c r="Q212" s="11">
        <f ca="1">IFERROR(__xludf.DUMMYFUNCTION("""COMPUTED_VALUE"""),44834)</f>
        <v>44834</v>
      </c>
      <c r="R212" s="12">
        <f ca="1">IFERROR(__xludf.DUMMYFUNCTION("""COMPUTED_VALUE"""),1)</f>
        <v>1</v>
      </c>
      <c r="S212" s="10" t="str">
        <f ca="1">IFERROR(__xludf.DUMMYFUNCTION("""COMPUTED_VALUE"""),"Se dispondrán de espacios de diálogo presenciales de rendición de cuentas y los mecanismos virtuales complementarios en temas específicos de interés (Redes sociales, boletines informativos, eventos, pautas publicitarias) especial que implementará la entid"&amp;"ad durante la vigencia. De igual forma la fecha programada para la realización de la rendición de cuentas es el 2 de noviembre de 2022 en expofuturo y será transmitido a través de redes sociales.  https://drive.google.com/drive/folders/1eZ3YbfEVRMxY-wGRcz"&amp;"F7xN-CvGWtqiA1?usp=sharing")</f>
        <v>Se dispondrán de espacios de diálogo presenciales de rendición de cuentas y los mecanismos virtuales complementarios en temas específicos de interés (Redes sociales, boletines informativos, eventos, pautas publicitarias) especial que implementará la entidad durante la vigencia. De igual forma la fecha programada para la realización de la rendición de cuentas es el 2 de noviembre de 2022 en expofuturo y será transmitido a través de redes sociales.  https://drive.google.com/drive/folders/1eZ3YbfEVRMxY-wGRczF7xN-CvGWtqiA1?usp=sharing</v>
      </c>
      <c r="T212" s="11">
        <f ca="1">IFERROR(__xludf.DUMMYFUNCTION("""COMPUTED_VALUE"""),44925)</f>
        <v>44925</v>
      </c>
      <c r="U212" s="10"/>
    </row>
    <row r="213" spans="1:21" ht="409.5" x14ac:dyDescent="0.2">
      <c r="A213" s="10" t="str">
        <f ca="1">IFERROR(__xludf.DUMMYFUNCTION("""COMPUTED_VALUE"""),"Gestión con valores para resultados")</f>
        <v>Gestión con valores para resultados</v>
      </c>
      <c r="B213" s="10" t="str">
        <f ca="1">IFERROR(__xludf.DUMMYFUNCTION("""COMPUTED_VALUE"""),"Participación Ciudadana en la Gestión Pública - Rendición de Cuentas")</f>
        <v>Participación Ciudadana en la Gestión Pública - Rendición de Cuentas</v>
      </c>
      <c r="C213" s="10" t="str">
        <f ca="1">IFERROR(__xludf.DUMMYFUNCTION("""COMPUTED_VALUE"""),"Definir el proceso de actualización de los canales de publicación y divulgación a través de los cuales la entidad dispondrá la información necesaria para el ejercicio de rendición de cuentas.")</f>
        <v>Definir el proceso de actualización de los canales de publicación y divulgación a través de los cuales la entidad dispondrá la información necesaria para el ejercicio de rendición de cuentas.</v>
      </c>
      <c r="D213" s="10" t="str">
        <f ca="1">IFERROR(__xludf.DUMMYFUNCTION("""COMPUTED_VALUE"""),"Matriz de caracterización de las necesidades - Mailchimp")</f>
        <v>Matriz de caracterización de las necesidades - Mailchimp</v>
      </c>
      <c r="E213" s="10" t="str">
        <f ca="1">IFERROR(__xludf.DUMMYFUNCTION("""COMPUTED_VALUE"""),"Una matriz de caracterización de necesidades proyectado / Una matriz de caracterización de necesidades elaborado.")</f>
        <v>Una matriz de caracterización de necesidades proyectado / Una matriz de caracterización de necesidades elaborado.</v>
      </c>
      <c r="F213" s="11">
        <f ca="1">IFERROR(__xludf.DUMMYFUNCTION("""COMPUTED_VALUE"""),44564)</f>
        <v>44564</v>
      </c>
      <c r="G213" s="11">
        <f ca="1">IFERROR(__xludf.DUMMYFUNCTION("""COMPUTED_VALUE"""),44925)</f>
        <v>44925</v>
      </c>
      <c r="H213" s="10" t="str">
        <f ca="1">IFERROR(__xludf.DUMMYFUNCTION("""COMPUTED_VALUE"""),"Asesor de Prensa y Comunicaciones")</f>
        <v>Asesor de Prensa y Comunicaciones</v>
      </c>
      <c r="I213" s="12">
        <f ca="1">IFERROR(__xludf.DUMMYFUNCTION("""COMPUTED_VALUE"""),0)</f>
        <v>0</v>
      </c>
      <c r="J213" s="10" t="str">
        <f ca="1">IFERROR(__xludf.DUMMYFUNCTION("""COMPUTED_VALUE"""),"Se definirán el mecanismo de actualización para los canales de publicación y divulgación, según la necesidad, a través de los cuales la entidad dispondrá la información necesaria para el ejercicio de rendición de cuentas.")</f>
        <v>Se definirán el mecanismo de actualización para los canales de publicación y divulgación, según la necesidad, a través de los cuales la entidad dispondrá la información necesaria para el ejercicio de rendición de cuentas.</v>
      </c>
      <c r="K213" s="11">
        <f ca="1">IFERROR(__xludf.DUMMYFUNCTION("""COMPUTED_VALUE"""),44651)</f>
        <v>44651</v>
      </c>
      <c r="L213" s="12">
        <f ca="1">IFERROR(__xludf.DUMMYFUNCTION("""COMPUTED_VALUE"""),0)</f>
        <v>0</v>
      </c>
      <c r="M213" s="10" t="str">
        <f ca="1">IFERROR(__xludf.DUMMYFUNCTION("""COMPUTED_VALUE"""),"Se definirán el procedimiento de actualización de acuerdo al diagnóstico y la priorización de programas, proyectos y servicios de acuerdo a los espacios de diálogo presenciales de la rendición de la cuenta y los mecanismos virtuales complementarios según "&amp;"la necesidad, a través de los cuales la entidad dispondrá la información necesaria para el ejercicio de rendición de cuentas.")</f>
        <v>Se definirán el procedimiento de actualización de acuerdo al diagnóstico y la priorización de programas, proyectos y servicios de acuerdo a los espacios de diálogo presenciales de la rendición de la cuenta y los mecanismos virtuales complementarios según la necesidad, a través de los cuales la entidad dispondrá la información necesaria para el ejercicio de rendición de cuentas.</v>
      </c>
      <c r="N213" s="11">
        <f ca="1">IFERROR(__xludf.DUMMYFUNCTION("""COMPUTED_VALUE"""),44742)</f>
        <v>44742</v>
      </c>
      <c r="O213" s="12">
        <f ca="1">IFERROR(__xludf.DUMMYFUNCTION("""COMPUTED_VALUE"""),0)</f>
        <v>0</v>
      </c>
      <c r="P213" s="10" t="str">
        <f ca="1">IFERROR(__xludf.DUMMYFUNCTION("""COMPUTED_VALUE"""),"Se definirá el procedimiento de actualización de acuerdo al diagnóstico y la priorización de programas, proyectos y servicios de acuerdo a los espacios de diálogo presenciales de la rendición de cuentas y los mecanismos virtuales complementarios según la "&amp;"necesidad, a través de los cuales la entidad dispondrá la información necesaria para el ejercicio de rendición de cuentas. ")</f>
        <v xml:space="preserve">Se definirá el procedimiento de actualización de acuerdo al diagnóstico y la priorización de programas, proyectos y servicios de acuerdo a los espacios de diálogo presenciales de la rendición de cuentas y los mecanismos virtuales complementarios según la necesidad, a través de los cuales la entidad dispondrá la información necesaria para el ejercicio de rendición de cuentas. </v>
      </c>
      <c r="Q213" s="11">
        <f ca="1">IFERROR(__xludf.DUMMYFUNCTION("""COMPUTED_VALUE"""),44834)</f>
        <v>44834</v>
      </c>
      <c r="R213" s="12">
        <f ca="1">IFERROR(__xludf.DUMMYFUNCTION("""COMPUTED_VALUE"""),1)</f>
        <v>1</v>
      </c>
      <c r="S213" s="10" t="str">
        <f ca="1">IFERROR(__xludf.DUMMYFUNCTION("""COMPUTED_VALUE"""),"Se definirá el procedimiento de actualización de acuerdo al diagnóstico y la priorización de programas, proyectos y servicios de acuerdo a los espacios de diálogo presenciales de la rendición de cuentas y los mecanismos virtuales complementarios según la "&amp;"necesidad, se estalece a través de la presentación realizada por la OAPC. https://drive.google.com/drive/folders/1aj-6SNAmrv5Tuy1QPlDJkPyj9Vv0Vjv4?usp=sharing")</f>
        <v>Se definirá el procedimiento de actualización de acuerdo al diagnóstico y la priorización de programas, proyectos y servicios de acuerdo a los espacios de diálogo presenciales de la rendición de cuentas y los mecanismos virtuales complementarios según la necesidad, se estalece a través de la presentación realizada por la OAPC. https://drive.google.com/drive/folders/1aj-6SNAmrv5Tuy1QPlDJkPyj9Vv0Vjv4?usp=sharing</v>
      </c>
      <c r="T213" s="11">
        <f ca="1">IFERROR(__xludf.DUMMYFUNCTION("""COMPUTED_VALUE"""),44925)</f>
        <v>44925</v>
      </c>
      <c r="U213" s="10"/>
    </row>
    <row r="214" spans="1:21" ht="409.5" x14ac:dyDescent="0.2">
      <c r="A214" s="10" t="str">
        <f ca="1">IFERROR(__xludf.DUMMYFUNCTION("""COMPUTED_VALUE"""),"Gestión con valores para resultados")</f>
        <v>Gestión con valores para resultados</v>
      </c>
      <c r="B214" s="10" t="str">
        <f ca="1">IFERROR(__xludf.DUMMYFUNCTION("""COMPUTED_VALUE"""),"Participación Ciudadana en la Gestión Pública - Rendición de Cuentas")</f>
        <v>Participación Ciudadana en la Gestión Pública - Rendición de Cuentas</v>
      </c>
      <c r="C214" s="10" t="str">
        <f ca="1">IFERROR(__xludf.DUMMYFUNCTION("""COMPUTED_VALUE"""),"Establecer los canales y mecanismos virtuales que complementarán las acciones de diálogo definidas para temas específicos y para los temas generales.")</f>
        <v>Establecer los canales y mecanismos virtuales que complementarán las acciones de diálogo definidas para temas específicos y para los temas generales.</v>
      </c>
      <c r="D214" s="10" t="str">
        <f ca="1">IFERROR(__xludf.DUMMYFUNCTION("""COMPUTED_VALUE"""),"Canales de información establecidos (Redes sociales, portal web)")</f>
        <v>Canales de información establecidos (Redes sociales, portal web)</v>
      </c>
      <c r="E214" s="10" t="str">
        <f ca="1">IFERROR(__xludf.DUMMYFUNCTION("""COMPUTED_VALUE"""),"Mecanismos virtuales publicados / Mecanismos virtuales programados")</f>
        <v>Mecanismos virtuales publicados / Mecanismos virtuales programados</v>
      </c>
      <c r="F214" s="11">
        <f ca="1">IFERROR(__xludf.DUMMYFUNCTION("""COMPUTED_VALUE"""),44564)</f>
        <v>44564</v>
      </c>
      <c r="G214" s="11">
        <f ca="1">IFERROR(__xludf.DUMMYFUNCTION("""COMPUTED_VALUE"""),44925)</f>
        <v>44925</v>
      </c>
      <c r="H214" s="10" t="str">
        <f ca="1">IFERROR(__xludf.DUMMYFUNCTION("""COMPUTED_VALUE"""),"Asesor de Prensa y Comunicaciones")</f>
        <v>Asesor de Prensa y Comunicaciones</v>
      </c>
      <c r="I214" s="12">
        <f ca="1">IFERROR(__xludf.DUMMYFUNCTION("""COMPUTED_VALUE"""),0)</f>
        <v>0</v>
      </c>
      <c r="J214" s="10" t="str">
        <f ca="1">IFERROR(__xludf.DUMMYFUNCTION("""COMPUTED_VALUE"""),"Se dispondrán de los canales de publicación y difusión existentes para los resultados de la gestión y avance, así como (Redes sociales y pagina web).")</f>
        <v>Se dispondrán de los canales de publicación y difusión existentes para los resultados de la gestión y avance, así como (Redes sociales y pagina web).</v>
      </c>
      <c r="K214" s="11">
        <f ca="1">IFERROR(__xludf.DUMMYFUNCTION("""COMPUTED_VALUE"""),44651)</f>
        <v>44651</v>
      </c>
      <c r="L214" s="12">
        <f ca="1">IFERROR(__xludf.DUMMYFUNCTION("""COMPUTED_VALUE"""),0)</f>
        <v>0</v>
      </c>
      <c r="M214" s="10" t="str">
        <f ca="1">IFERROR(__xludf.DUMMYFUNCTION("""COMPUTED_VALUE"""),"Se dispondrán de los canales de publicación y difusión existentes para los resultados de la gestión y avance, así como (Redes sociales y pagina web).")</f>
        <v>Se dispondrán de los canales de publicación y difusión existentes para los resultados de la gestión y avance, así como (Redes sociales y pagina web).</v>
      </c>
      <c r="N214" s="11">
        <f ca="1">IFERROR(__xludf.DUMMYFUNCTION("""COMPUTED_VALUE"""),44742)</f>
        <v>44742</v>
      </c>
      <c r="O214" s="12">
        <f ca="1">IFERROR(__xludf.DUMMYFUNCTION("""COMPUTED_VALUE"""),0.5)</f>
        <v>0.5</v>
      </c>
      <c r="P214" s="10" t="str">
        <f ca="1">IFERROR(__xludf.DUMMYFUNCTION("""COMPUTED_VALUE"""),"Se dispondrán de los canales de publicación y difusión existentes para los resultados de la gestión y avance, así como (Redes sociales y pagina web). Adicionalmente, se realizó la difusión a través de cuñas y boletines con la información de los canales es"&amp;"tablecidos para la realización de la rendición de cuentas y la participación de los ciudadanos.  https://drive.google.com/drive/folders/19AwaKVTr9dKAcLrScDP5XLX2MiIkR9c_?usp=sharing")</f>
        <v>Se dispondrán de los canales de publicación y difusión existentes para los resultados de la gestión y avance, así como (Redes sociales y pagina web). Adicionalmente, se realizó la difusión a través de cuñas y boletines con la información de los canales establecidos para la realización de la rendición de cuentas y la participación de los ciudadanos.  https://drive.google.com/drive/folders/19AwaKVTr9dKAcLrScDP5XLX2MiIkR9c_?usp=sharing</v>
      </c>
      <c r="Q214" s="11">
        <f ca="1">IFERROR(__xludf.DUMMYFUNCTION("""COMPUTED_VALUE"""),44834)</f>
        <v>44834</v>
      </c>
      <c r="R214" s="12">
        <f ca="1">IFERROR(__xludf.DUMMYFUNCTION("""COMPUTED_VALUE"""),1)</f>
        <v>1</v>
      </c>
      <c r="S214" s="10" t="str">
        <f ca="1">IFERROR(__xludf.DUMMYFUNCTION("""COMPUTED_VALUE"""),"Se dispondrán de los canales de publicación y difusión existentes para los resultados de la gestión y avance, así como (Redes sociales y pagina web). Adicionalmente, se realizó la difusión a través de cuñas y boletines con la información de los canales es"&amp;"tablecidos para la realización de la rendición de cuentas y la participación de los ciudadanos. https://drive.google.com/drive/folders/19AwaKVTr9dKAcLrScDP5XLX2MiIkR9c_?usp=sharing")</f>
        <v>Se dispondrán de los canales de publicación y difusión existentes para los resultados de la gestión y avance, así como (Redes sociales y pagina web). Adicionalmente, se realizó la difusión a través de cuñas y boletines con la información de los canales establecidos para la realización de la rendición de cuentas y la participación de los ciudadanos. https://drive.google.com/drive/folders/19AwaKVTr9dKAcLrScDP5XLX2MiIkR9c_?usp=sharing</v>
      </c>
      <c r="T214" s="11">
        <f ca="1">IFERROR(__xludf.DUMMYFUNCTION("""COMPUTED_VALUE"""),44925)</f>
        <v>44925</v>
      </c>
      <c r="U214" s="10"/>
    </row>
    <row r="215" spans="1:21" ht="409.5" x14ac:dyDescent="0.2">
      <c r="A215" s="10" t="str">
        <f ca="1">IFERROR(__xludf.DUMMYFUNCTION("""COMPUTED_VALUE"""),"Gestión con valores para resultados")</f>
        <v>Gestión con valores para resultados</v>
      </c>
      <c r="B215" s="10" t="str">
        <f ca="1">IFERROR(__xludf.DUMMYFUNCTION("""COMPUTED_VALUE"""),"Participación Ciudadana en la Gestión Pública - Rendición de Cuentas")</f>
        <v>Participación Ciudadana en la Gestión Pública - Rendición de Cuentas</v>
      </c>
      <c r="C215" s="10" t="str">
        <f ca="1">IFERROR(__xludf.DUMMYFUNCTION("""COMPUTED_VALUE"""),"Definir el componente de comunicaciones para la estrategia de rendición de cuentas.")</f>
        <v>Definir el componente de comunicaciones para la estrategia de rendición de cuentas.</v>
      </c>
      <c r="D215" s="10" t="str">
        <f ca="1">IFERROR(__xludf.DUMMYFUNCTION("""COMPUTED_VALUE"""),"Se solicitará el consolidado de gestión a la secretaría de planeación municipal para la creción del informe de la rendición de cuentas")</f>
        <v>Se solicitará el consolidado de gestión a la secretaría de planeación municipal para la creción del informe de la rendición de cuentas</v>
      </c>
      <c r="E215" s="10" t="str">
        <f ca="1">IFERROR(__xludf.DUMMYFUNCTION("""COMPUTED_VALUE"""),"Solicitud a la oficina de planeación / información enviado para la construcción")</f>
        <v>Solicitud a la oficina de planeación / información enviado para la construcción</v>
      </c>
      <c r="F215" s="11">
        <f ca="1">IFERROR(__xludf.DUMMYFUNCTION("""COMPUTED_VALUE"""),44564)</f>
        <v>44564</v>
      </c>
      <c r="G215" s="11">
        <f ca="1">IFERROR(__xludf.DUMMYFUNCTION("""COMPUTED_VALUE"""),44925)</f>
        <v>44925</v>
      </c>
      <c r="H215" s="10" t="str">
        <f ca="1">IFERROR(__xludf.DUMMYFUNCTION("""COMPUTED_VALUE"""),"Asesor de Prensa y Comunicaciones")</f>
        <v>Asesor de Prensa y Comunicaciones</v>
      </c>
      <c r="I215" s="12">
        <f ca="1">IFERROR(__xludf.DUMMYFUNCTION("""COMPUTED_VALUE"""),0)</f>
        <v>0</v>
      </c>
      <c r="J215" s="10" t="str">
        <f ca="1">IFERROR(__xludf.DUMMYFUNCTION("""COMPUTED_VALUE"""),"Se definirá el componente de comunicaciones para la estrategia de rendición de cuentas.")</f>
        <v>Se definirá el componente de comunicaciones para la estrategia de rendición de cuentas.</v>
      </c>
      <c r="K215" s="11">
        <f ca="1">IFERROR(__xludf.DUMMYFUNCTION("""COMPUTED_VALUE"""),44651)</f>
        <v>44651</v>
      </c>
      <c r="L215" s="12">
        <f ca="1">IFERROR(__xludf.DUMMYFUNCTION("""COMPUTED_VALUE"""),0)</f>
        <v>0</v>
      </c>
      <c r="M215" s="10" t="str">
        <f ca="1">IFERROR(__xludf.DUMMYFUNCTION("""COMPUTED_VALUE"""),"Se definirán los componentes de comunicaciones para la estrategia de rendición de cuentas así mismo se dispondrán de los canales de publicación y difusión existentes para los grupos de interés como los resultados de la gestión y avance, así como (Redes so"&amp;"ciales, boletines informativos, eventos, pautas publicitarias).")</f>
        <v>Se definirán los componentes de comunicaciones para la estrategia de rendición de cuentas así mismo se dispondrán de los canales de publicación y difusión existentes para los grupos de interés como los resultados de la gestión y avance, así como (Redes sociales, boletines informativos, eventos, pautas publicitarias).</v>
      </c>
      <c r="N215" s="11">
        <f ca="1">IFERROR(__xludf.DUMMYFUNCTION("""COMPUTED_VALUE"""),44742)</f>
        <v>44742</v>
      </c>
      <c r="O215" s="12">
        <f ca="1">IFERROR(__xludf.DUMMYFUNCTION("""COMPUTED_VALUE"""),0.1)</f>
        <v>0.1</v>
      </c>
      <c r="P215" s="10" t="str">
        <f ca="1">IFERROR(__xludf.DUMMYFUNCTION("""COMPUTED_VALUE"""),"Se definirá el componente de comunicación para la estrategia de rendición de cuentas así mismo se dispondrán de los canales de publicación y difusión existentes para los grupos de interés como los resultados de la gestión y avance, así como (Redes sociale"&amp;"s, boletines informativos, eventos, pautas publicitarias). Adicionalmente, se cuenta con el consolidado de gestión emitido por la secretaría de planeación. Evidencia: https://www.pereira.gov.co/documentos/1052/rendicion-de-cuentas-2021-2022/")</f>
        <v>Se definirá el componente de comunicación para la estrategia de rendición de cuentas así mismo se dispondrán de los canales de publicación y difusión existentes para los grupos de interés como los resultados de la gestión y avance, así como (Redes sociales, boletines informativos, eventos, pautas publicitarias). Adicionalmente, se cuenta con el consolidado de gestión emitido por la secretaría de planeación. Evidencia: https://www.pereira.gov.co/documentos/1052/rendicion-de-cuentas-2021-2022/</v>
      </c>
      <c r="Q215" s="11">
        <f ca="1">IFERROR(__xludf.DUMMYFUNCTION("""COMPUTED_VALUE"""),44834)</f>
        <v>44834</v>
      </c>
      <c r="R215" s="12">
        <f ca="1">IFERROR(__xludf.DUMMYFUNCTION("""COMPUTED_VALUE"""),1)</f>
        <v>1</v>
      </c>
      <c r="S215" s="10" t="str">
        <f ca="1">IFERROR(__xludf.DUMMYFUNCTION("""COMPUTED_VALUE"""),"Se definirá el componente de comunicación para la estrategia de rendición de cuentas así mismo se dispondrán de los canales de publicación y difusión existentes para los grupos de interés como los resultados de la gestión y avance, así como (Redes sociale"&amp;"s, boletines informativos, eventos, pautas publicitarias). Adicionalmente, se cuenta con el consolidado de gestión emitido por la secretaría de planeación. Evidencia: https://www.pereira.gov.co/documentos/1052/rendicion-de-cuentas-2021-2022/
https://drive"&amp;".google.com/drive/folders/1SfL6LLEo4X62gzrBIteA5Lx3kqG9osze?usp=sharing")</f>
        <v>Se definirá el componente de comunicación para la estrategia de rendición de cuentas así mismo se dispondrán de los canales de publicación y difusión existentes para los grupos de interés como los resultados de la gestión y avance, así como (Redes sociales, boletines informativos, eventos, pautas publicitarias). Adicionalmente, se cuenta con el consolidado de gestión emitido por la secretaría de planeación. Evidencia: https://www.pereira.gov.co/documentos/1052/rendicion-de-cuentas-2021-2022/
https://drive.google.com/drive/folders/1SfL6LLEo4X62gzrBIteA5Lx3kqG9osze?usp=sharing</v>
      </c>
      <c r="T215" s="11">
        <f ca="1">IFERROR(__xludf.DUMMYFUNCTION("""COMPUTED_VALUE"""),44925)</f>
        <v>44925</v>
      </c>
      <c r="U215" s="10"/>
    </row>
    <row r="216" spans="1:21" ht="344.25" x14ac:dyDescent="0.2">
      <c r="A216" s="10" t="str">
        <f ca="1">IFERROR(__xludf.DUMMYFUNCTION("""COMPUTED_VALUE"""),"Gestión con valores para resultados")</f>
        <v>Gestión con valores para resultados</v>
      </c>
      <c r="B216" s="10" t="str">
        <f ca="1">IFERROR(__xludf.DUMMYFUNCTION("""COMPUTED_VALUE"""),"Participación Ciudadana en la Gestión Pública - Rendición de Cuentas")</f>
        <v>Participación Ciudadana en la Gestión Pública - Rendición de Cuentas</v>
      </c>
      <c r="C216" s="10" t="str">
        <f ca="1">IFERROR(__xludf.DUMMYFUNCTION("""COMPUTED_VALUE"""),"Preparar la información con base en los temas de interés priorizados por la ciudadana y grupos de valor en la consulta realizada.")</f>
        <v>Preparar la información con base en los temas de interés priorizados por la ciudadana y grupos de valor en la consulta realizada.</v>
      </c>
      <c r="D216" s="10" t="str">
        <f ca="1">IFERROR(__xludf.DUMMYFUNCTION("""COMPUTED_VALUE"""),"Informe de rendición de cuentas elaborado.")</f>
        <v>Informe de rendición de cuentas elaborado.</v>
      </c>
      <c r="E216" s="10" t="str">
        <f ca="1">IFERROR(__xludf.DUMMYFUNCTION("""COMPUTED_VALUE"""),"Informe de rendición de cuentas proyectado / Informe de rendición de cuentas elaborado.")</f>
        <v>Informe de rendición de cuentas proyectado / Informe de rendición de cuentas elaborado.</v>
      </c>
      <c r="F216" s="11">
        <f ca="1">IFERROR(__xludf.DUMMYFUNCTION("""COMPUTED_VALUE"""),44564)</f>
        <v>44564</v>
      </c>
      <c r="G216" s="11">
        <f ca="1">IFERROR(__xludf.DUMMYFUNCTION("""COMPUTED_VALUE"""),44925)</f>
        <v>44925</v>
      </c>
      <c r="H216" s="10" t="str">
        <f ca="1">IFERROR(__xludf.DUMMYFUNCTION("""COMPUTED_VALUE"""),"Asesor de Prensa y Comunicaciones")</f>
        <v>Asesor de Prensa y Comunicaciones</v>
      </c>
      <c r="I216" s="12">
        <f ca="1">IFERROR(__xludf.DUMMYFUNCTION("""COMPUTED_VALUE"""),0)</f>
        <v>0</v>
      </c>
      <c r="J216" s="10" t="str">
        <f ca="1">IFERROR(__xludf.DUMMYFUNCTION("""COMPUTED_VALUE"""),"Se preparará la información con base en los temas de interés priorizados por la ciudadana y grupos de valor en la consulta realizada.")</f>
        <v>Se preparará la información con base en los temas de interés priorizados por la ciudadana y grupos de valor en la consulta realizada.</v>
      </c>
      <c r="K216" s="11">
        <f ca="1">IFERROR(__xludf.DUMMYFUNCTION("""COMPUTED_VALUE"""),44651)</f>
        <v>44651</v>
      </c>
      <c r="L216" s="12">
        <f ca="1">IFERROR(__xludf.DUMMYFUNCTION("""COMPUTED_VALUE"""),0)</f>
        <v>0</v>
      </c>
      <c r="M216" s="10" t="str">
        <f ca="1">IFERROR(__xludf.DUMMYFUNCTION("""COMPUTED_VALUE"""),"Se dispondra de la informacion con base a los resultados de interes de la ciudadania y ripos de valor de acuerdo a la rendicion de cuentas realizadas.")</f>
        <v>Se dispondra de la informacion con base a los resultados de interes de la ciudadania y ripos de valor de acuerdo a la rendicion de cuentas realizadas.</v>
      </c>
      <c r="N216" s="11">
        <f ca="1">IFERROR(__xludf.DUMMYFUNCTION("""COMPUTED_VALUE"""),44742)</f>
        <v>44742</v>
      </c>
      <c r="O216" s="12">
        <f ca="1">IFERROR(__xludf.DUMMYFUNCTION("""COMPUTED_VALUE"""),0)</f>
        <v>0</v>
      </c>
      <c r="P216" s="10" t="str">
        <f ca="1">IFERROR(__xludf.DUMMYFUNCTION("""COMPUTED_VALUE"""),"Se dispondrá de la informacion con base a los resultados de interes de la ciudadania y tipos de valor de acuerdo a la rendicion de cuentas realizada.")</f>
        <v>Se dispondrá de la informacion con base a los resultados de interes de la ciudadania y tipos de valor de acuerdo a la rendicion de cuentas realizada.</v>
      </c>
      <c r="Q216" s="11">
        <f ca="1">IFERROR(__xludf.DUMMYFUNCTION("""COMPUTED_VALUE"""),44834)</f>
        <v>44834</v>
      </c>
      <c r="R216" s="12">
        <f ca="1">IFERROR(__xludf.DUMMYFUNCTION("""COMPUTED_VALUE"""),1)</f>
        <v>1</v>
      </c>
      <c r="S216" s="10" t="str">
        <f ca="1">IFERROR(__xludf.DUMMYFUNCTION("""COMPUTED_VALUE"""),"Se dispondrá de la informacion con base a los resultados de interes de la ciudadania y tipos de valor de acuerdo a la rendicion de cuentas realizada. Evidencia: https://www.pereira.gov.co/documentos/1052/rendicion-de-cuentas-2021-2022/
https://drive.googl"&amp;"e.com/drive/folders/1aj-6SNAmrv5Tuy1QPlDJkPyj9Vv0Vjv4?usp=sharing")</f>
        <v>Se dispondrá de la informacion con base a los resultados de interes de la ciudadania y tipos de valor de acuerdo a la rendicion de cuentas realizada. Evidencia: https://www.pereira.gov.co/documentos/1052/rendicion-de-cuentas-2021-2022/
https://drive.google.com/drive/folders/1aj-6SNAmrv5Tuy1QPlDJkPyj9Vv0Vjv4?usp=sharing</v>
      </c>
      <c r="T216" s="11">
        <f ca="1">IFERROR(__xludf.DUMMYFUNCTION("""COMPUTED_VALUE"""),44925)</f>
        <v>44925</v>
      </c>
      <c r="U216" s="10"/>
    </row>
    <row r="217" spans="1:21" ht="369.75" x14ac:dyDescent="0.2">
      <c r="A217" s="10" t="str">
        <f ca="1">IFERROR(__xludf.DUMMYFUNCTION("""COMPUTED_VALUE"""),"Gestión con valores para resultados")</f>
        <v>Gestión con valores para resultados</v>
      </c>
      <c r="B217" s="10" t="str">
        <f ca="1">IFERROR(__xludf.DUMMYFUNCTION("""COMPUTED_VALUE"""),"Participación Ciudadana en la Gestión Pública - Rendición de Cuentas")</f>
        <v>Participación Ciudadana en la Gestión Pública - Rendición de Cuentas</v>
      </c>
      <c r="C217" s="10" t="str">
        <f ca="1">IFERROR(__xludf.DUMMYFUNCTION("""COMPUTED_VALUE"""),"Actualizar los canales de comunicación diferentes a la página web, con la información preparada por la entidad, atendiendo a lo estipulado en el cronograma elaborado anteriormente.")</f>
        <v>Actualizar los canales de comunicación diferentes a la página web, con la información preparada por la entidad, atendiendo a lo estipulado en el cronograma elaborado anteriormente.</v>
      </c>
      <c r="D217" s="10" t="str">
        <f ca="1">IFERROR(__xludf.DUMMYFUNCTION("""COMPUTED_VALUE"""),"Actualización de los canales de comunicación a través de las convocatorias para la rendición de cuentas")</f>
        <v>Actualización de los canales de comunicación a través de las convocatorias para la rendición de cuentas</v>
      </c>
      <c r="E217" s="10" t="str">
        <f ca="1">IFERROR(__xludf.DUMMYFUNCTION("""COMPUTED_VALUE"""),"Estrategias de comunicación para las convocatoria / Canales de comunicación actualizados.")</f>
        <v>Estrategias de comunicación para las convocatoria / Canales de comunicación actualizados.</v>
      </c>
      <c r="F217" s="11">
        <f ca="1">IFERROR(__xludf.DUMMYFUNCTION("""COMPUTED_VALUE"""),44564)</f>
        <v>44564</v>
      </c>
      <c r="G217" s="11">
        <f ca="1">IFERROR(__xludf.DUMMYFUNCTION("""COMPUTED_VALUE"""),44925)</f>
        <v>44925</v>
      </c>
      <c r="H217" s="10" t="str">
        <f ca="1">IFERROR(__xludf.DUMMYFUNCTION("""COMPUTED_VALUE"""),"Asesor de Prensa y Comunicaciones")</f>
        <v>Asesor de Prensa y Comunicaciones</v>
      </c>
      <c r="I217" s="12">
        <f ca="1">IFERROR(__xludf.DUMMYFUNCTION("""COMPUTED_VALUE"""),0)</f>
        <v>0</v>
      </c>
      <c r="J217" s="10" t="str">
        <f ca="1">IFERROR(__xludf.DUMMYFUNCTION("""COMPUTED_VALUE"""),"Se actualizará los canales de comunicación diferentes a la página web, con la información preparada por la entidad, atendiendo a lo estipulado en el cronograma elaborado anteriormente.")</f>
        <v>Se actualizará los canales de comunicación diferentes a la página web, con la información preparada por la entidad, atendiendo a lo estipulado en el cronograma elaborado anteriormente.</v>
      </c>
      <c r="K217" s="11">
        <f ca="1">IFERROR(__xludf.DUMMYFUNCTION("""COMPUTED_VALUE"""),44651)</f>
        <v>44651</v>
      </c>
      <c r="L217" s="12">
        <f ca="1">IFERROR(__xludf.DUMMYFUNCTION("""COMPUTED_VALUE"""),0)</f>
        <v>0</v>
      </c>
      <c r="M217" s="10" t="str">
        <f ca="1">IFERROR(__xludf.DUMMYFUNCTION("""COMPUTED_VALUE"""),"Se actualizará los canales de comunicación diferentes a la página web, de acuerdo a los resultados de interés de la ciudadanía")</f>
        <v>Se actualizará los canales de comunicación diferentes a la página web, de acuerdo a los resultados de interés de la ciudadanía</v>
      </c>
      <c r="N217" s="11">
        <f ca="1">IFERROR(__xludf.DUMMYFUNCTION("""COMPUTED_VALUE"""),44742)</f>
        <v>44742</v>
      </c>
      <c r="O217" s="12">
        <f ca="1">IFERROR(__xludf.DUMMYFUNCTION("""COMPUTED_VALUE"""),0.6)</f>
        <v>0.6</v>
      </c>
      <c r="P217" s="10" t="str">
        <f ca="1">IFERROR(__xludf.DUMMYFUNCTION("""COMPUTED_VALUE"""),"Se actualizaron los canales de comunicación diferentes a la página web, de acuerdo a los resultados de interés de la ciudadanía. Evidencia: Piezas gráficas, cuñas, publicación en el diario del otún y boletines de las convocatorias realizadas. https://driv"&amp;"e.google.com/drive/folders/1VnHQ92vw8ojn4eZYFhqCLbEnPmb8HOAO?usp=sharing")</f>
        <v>Se actualizaron los canales de comunicación diferentes a la página web, de acuerdo a los resultados de interés de la ciudadanía. Evidencia: Piezas gráficas, cuñas, publicación en el diario del otún y boletines de las convocatorias realizadas. https://drive.google.com/drive/folders/1VnHQ92vw8ojn4eZYFhqCLbEnPmb8HOAO?usp=sharing</v>
      </c>
      <c r="Q217" s="11">
        <f ca="1">IFERROR(__xludf.DUMMYFUNCTION("""COMPUTED_VALUE"""),44834)</f>
        <v>44834</v>
      </c>
      <c r="R217" s="12">
        <f ca="1">IFERROR(__xludf.DUMMYFUNCTION("""COMPUTED_VALUE"""),1)</f>
        <v>1</v>
      </c>
      <c r="S217" s="10" t="str">
        <f ca="1">IFERROR(__xludf.DUMMYFUNCTION("""COMPUTED_VALUE"""),"Se actualizaron los canales de comunicación diferentes a la página web, de acuerdo a los resultados de interés de la ciudadanía. Evidencia: Piezas gráficas, cuñas, publicación en el diario del otún y boletines de las convocatorias realizadas. https://driv"&amp;"e.google.com/drive/folders/1VnHQ92vw8ojn4eZYFhqCLbEnPmb8HOAO?usp=sharing")</f>
        <v>Se actualizaron los canales de comunicación diferentes a la página web, de acuerdo a los resultados de interés de la ciudadanía. Evidencia: Piezas gráficas, cuñas, publicación en el diario del otún y boletines de las convocatorias realizadas. https://drive.google.com/drive/folders/1VnHQ92vw8ojn4eZYFhqCLbEnPmb8HOAO?usp=sharing</v>
      </c>
      <c r="T217" s="11">
        <f ca="1">IFERROR(__xludf.DUMMYFUNCTION("""COMPUTED_VALUE"""),44925)</f>
        <v>44925</v>
      </c>
      <c r="U217" s="10"/>
    </row>
    <row r="218" spans="1:21" ht="409.5" x14ac:dyDescent="0.2">
      <c r="A218" s="10" t="str">
        <f ca="1">IFERROR(__xludf.DUMMYFUNCTION("""COMPUTED_VALUE"""),"Gestión con valores para resultados")</f>
        <v>Gestión con valores para resultados</v>
      </c>
      <c r="B218" s="10" t="str">
        <f ca="1">IFERROR(__xludf.DUMMYFUNCTION("""COMPUTED_VALUE"""),"Participación Ciudadana en la Gestión Pública - Rendición de Cuentas")</f>
        <v>Participación Ciudadana en la Gestión Pública - Rendición de Cuentas</v>
      </c>
      <c r="C218" s="10" t="str">
        <f ca="1">IFERROR(__xludf.DUMMYFUNCTION("""COMPUTED_VALUE"""),"Realizar difusión masiva de los informes de rendición de cuentas, en espacios tales como: medios impresos; emisoras locales o nacionales o espacios televisivos mediante alianzas y cooperación con organismos públicos, regionales e internacionales o particu"&amp;"lares.")</f>
        <v>Realizar difusión masiva de los informes de rendición de cuentas, en espacios tales como: medios impresos; emisoras locales o nacionales o espacios televisivos mediante alianzas y cooperación con organismos públicos, regionales e internacionales o particulares.</v>
      </c>
      <c r="D218" s="10" t="str">
        <f ca="1">IFERROR(__xludf.DUMMYFUNCTION("""COMPUTED_VALUE"""),"Plan de convocatoria a los medios establecidos.")</f>
        <v>Plan de convocatoria a los medios establecidos.</v>
      </c>
      <c r="E218" s="10" t="str">
        <f ca="1">IFERROR(__xludf.DUMMYFUNCTION("""COMPUTED_VALUE"""),"Medios de información convocados / Medios de comunicación asistentes a la jornada.")</f>
        <v>Medios de información convocados / Medios de comunicación asistentes a la jornada.</v>
      </c>
      <c r="F218" s="11">
        <f ca="1">IFERROR(__xludf.DUMMYFUNCTION("""COMPUTED_VALUE"""),44564)</f>
        <v>44564</v>
      </c>
      <c r="G218" s="11">
        <f ca="1">IFERROR(__xludf.DUMMYFUNCTION("""COMPUTED_VALUE"""),44925)</f>
        <v>44925</v>
      </c>
      <c r="H218" s="10" t="str">
        <f ca="1">IFERROR(__xludf.DUMMYFUNCTION("""COMPUTED_VALUE"""),"Asesor de Prensa y Comunicaciones")</f>
        <v>Asesor de Prensa y Comunicaciones</v>
      </c>
      <c r="I218" s="12">
        <f ca="1">IFERROR(__xludf.DUMMYFUNCTION("""COMPUTED_VALUE"""),0)</f>
        <v>0</v>
      </c>
      <c r="J218" s="10" t="str">
        <f ca="1">IFERROR(__xludf.DUMMYFUNCTION("""COMPUTED_VALUE"""),"Se realizará la difusión masiva de los informes de rendición de cuentas, en espacios tales como: medios impresos; emisoras locales o nacionales o espacios televisivos mediante alianzas y cooperación con organismos públicos, regionales e internacionales o "&amp;"particulares.")</f>
        <v>Se realizará la difusión masiva de los informes de rendición de cuentas, en espacios tales como: medios impresos; emisoras locales o nacionales o espacios televisivos mediante alianzas y cooperación con organismos públicos, regionales e internacionales o particulares.</v>
      </c>
      <c r="K218" s="11">
        <f ca="1">IFERROR(__xludf.DUMMYFUNCTION("""COMPUTED_VALUE"""),44651)</f>
        <v>44651</v>
      </c>
      <c r="L218" s="12">
        <f ca="1">IFERROR(__xludf.DUMMYFUNCTION("""COMPUTED_VALUE"""),0)</f>
        <v>0</v>
      </c>
      <c r="M218" s="10" t="str">
        <f ca="1">IFERROR(__xludf.DUMMYFUNCTION("""COMPUTED_VALUE"""),"Se realizará difusión masiva de los informes de rendición de cuentas en los diferentes espacios establecidos (Medios impresos, espacios televisivos (alianzas y/o cooperación con organismos públicos)")</f>
        <v>Se realizará difusión masiva de los informes de rendición de cuentas en los diferentes espacios establecidos (Medios impresos, espacios televisivos (alianzas y/o cooperación con organismos públicos)</v>
      </c>
      <c r="N218" s="11">
        <f ca="1">IFERROR(__xludf.DUMMYFUNCTION("""COMPUTED_VALUE"""),44742)</f>
        <v>44742</v>
      </c>
      <c r="O218" s="12">
        <f ca="1">IFERROR(__xludf.DUMMYFUNCTION("""COMPUTED_VALUE"""),0)</f>
        <v>0</v>
      </c>
      <c r="P218" s="10" t="str">
        <f ca="1">IFERROR(__xludf.DUMMYFUNCTION("""COMPUTED_VALUE"""),"Se realizará la difusión masiva de los informes de rendición de cuentas, en espacios tales como: medios impresos; emisoras locales o nacionales o espacios televisivos mediante alianzas y cooperación con organismos públicos, regionales e internacionales o "&amp;"particulares.")</f>
        <v>Se realizará la difusión masiva de los informes de rendición de cuentas, en espacios tales como: medios impresos; emisoras locales o nacionales o espacios televisivos mediante alianzas y cooperación con organismos públicos, regionales e internacionales o particulares.</v>
      </c>
      <c r="Q218" s="11">
        <f ca="1">IFERROR(__xludf.DUMMYFUNCTION("""COMPUTED_VALUE"""),44834)</f>
        <v>44834</v>
      </c>
      <c r="R218" s="12">
        <f ca="1">IFERROR(__xludf.DUMMYFUNCTION("""COMPUTED_VALUE"""),1)</f>
        <v>1</v>
      </c>
      <c r="S218" s="10" t="str">
        <f ca="1">IFERROR(__xludf.DUMMYFUNCTION("""COMPUTED_VALUE"""),"Se realizará la difusión masiva de los informes de rendición de cuentas, en espacios tales como: medios impresos; emisoras locales o nacionales o espacios televisivos mediante alianzas y cooperación con organismos públicos, regionales e internacionales o "&amp;"particulares. https://drive.google.com/drive/folders/1Hp-8AIJ-VCH5dL3lKaMKK8LgN9-xRooZ?usp=sharing")</f>
        <v>Se realizará la difusión masiva de los informes de rendición de cuentas, en espacios tales como: medios impresos; emisoras locales o nacionales o espacios televisivos mediante alianzas y cooperación con organismos públicos, regionales e internacionales o particulares. https://drive.google.com/drive/folders/1Hp-8AIJ-VCH5dL3lKaMKK8LgN9-xRooZ?usp=sharing</v>
      </c>
      <c r="T218" s="11">
        <f ca="1">IFERROR(__xludf.DUMMYFUNCTION("""COMPUTED_VALUE"""),44925)</f>
        <v>44925</v>
      </c>
      <c r="U218" s="10"/>
    </row>
    <row r="219" spans="1:21" ht="331.5" x14ac:dyDescent="0.2">
      <c r="A219" s="10" t="str">
        <f ca="1">IFERROR(__xludf.DUMMYFUNCTION("""COMPUTED_VALUE"""),"Gestión con valores para resultados")</f>
        <v>Gestión con valores para resultados</v>
      </c>
      <c r="B219" s="10" t="str">
        <f ca="1">IFERROR(__xludf.DUMMYFUNCTION("""COMPUTED_VALUE"""),"Participación Ciudadana en la Gestión Pública - Rendición de Cuentas")</f>
        <v>Participación Ciudadana en la Gestión Pública - Rendición de Cuentas</v>
      </c>
      <c r="C219" s="10" t="str">
        <f ca="1">IFERROR(__xludf.DUMMYFUNCTION("""COMPUTED_VALUE"""),"Diagnosticar si los espacios de diálogo y los canales de publicación y divulgación de información que empleó la entidad para ejecutar las actividades de rendición de cuentas, responde a las características de los ciudadanos, usuarios y grupos de interés")</f>
        <v>Diagnosticar si los espacios de diálogo y los canales de publicación y divulgación de información que empleó la entidad para ejecutar las actividades de rendición de cuentas, responde a las características de los ciudadanos, usuarios y grupos de interés</v>
      </c>
      <c r="D219" s="10" t="str">
        <f ca="1">IFERROR(__xludf.DUMMYFUNCTION("""COMPUTED_VALUE"""),"Plan de convocatoria a los medios establecidos, Presencialidad en el evento y conexiones en la transmisión propias y de los medios.")</f>
        <v>Plan de convocatoria a los medios establecidos, Presencialidad en el evento y conexiones en la transmisión propias y de los medios.</v>
      </c>
      <c r="E219" s="10" t="str">
        <f ca="1">IFERROR(__xludf.DUMMYFUNCTION("""COMPUTED_VALUE"""),"Medios de información convocados / Medios de comunicación asistentes a la jornada.")</f>
        <v>Medios de información convocados / Medios de comunicación asistentes a la jornada.</v>
      </c>
      <c r="F219" s="11">
        <f ca="1">IFERROR(__xludf.DUMMYFUNCTION("""COMPUTED_VALUE"""),44564)</f>
        <v>44564</v>
      </c>
      <c r="G219" s="11">
        <f ca="1">IFERROR(__xludf.DUMMYFUNCTION("""COMPUTED_VALUE"""),44925)</f>
        <v>44925</v>
      </c>
      <c r="H219" s="10" t="str">
        <f ca="1">IFERROR(__xludf.DUMMYFUNCTION("""COMPUTED_VALUE"""),"Asesor de Prensa y Comunicaciones")</f>
        <v>Asesor de Prensa y Comunicaciones</v>
      </c>
      <c r="I219" s="12">
        <f ca="1">IFERROR(__xludf.DUMMYFUNCTION("""COMPUTED_VALUE"""),0)</f>
        <v>0</v>
      </c>
      <c r="J219" s="10" t="str">
        <f ca="1">IFERROR(__xludf.DUMMYFUNCTION("""COMPUTED_VALUE"""),"Se diagnosticará si los espacios de diálogo y los canales de publicación y divulgación de información que empleara la entidad para ejecutar las actividades de rendición de cuentas, responde a las características de los ciudadanos, usuarios y grupos de int"&amp;"erés")</f>
        <v>Se diagnosticará si los espacios de diálogo y los canales de publicación y divulgación de información que empleara la entidad para ejecutar las actividades de rendición de cuentas, responde a las características de los ciudadanos, usuarios y grupos de interés</v>
      </c>
      <c r="K219" s="11">
        <f ca="1">IFERROR(__xludf.DUMMYFUNCTION("""COMPUTED_VALUE"""),44651)</f>
        <v>44651</v>
      </c>
      <c r="L219" s="12">
        <f ca="1">IFERROR(__xludf.DUMMYFUNCTION("""COMPUTED_VALUE"""),0)</f>
        <v>0</v>
      </c>
      <c r="M219" s="10" t="str">
        <f ca="1">IFERROR(__xludf.DUMMYFUNCTION("""COMPUTED_VALUE"""),"Se desarrollará un diagnóstico de los espacios de diálogos y canales de publicación e información para garantizar el nivel de satisfacción de los ciudadanos, usuarios y grupos de interés.")</f>
        <v>Se desarrollará un diagnóstico de los espacios de diálogos y canales de publicación e información para garantizar el nivel de satisfacción de los ciudadanos, usuarios y grupos de interés.</v>
      </c>
      <c r="N219" s="11">
        <f ca="1">IFERROR(__xludf.DUMMYFUNCTION("""COMPUTED_VALUE"""),44742)</f>
        <v>44742</v>
      </c>
      <c r="O219" s="12">
        <f ca="1">IFERROR(__xludf.DUMMYFUNCTION("""COMPUTED_VALUE"""),0)</f>
        <v>0</v>
      </c>
      <c r="P219" s="10" t="str">
        <f ca="1">IFERROR(__xludf.DUMMYFUNCTION("""COMPUTED_VALUE"""),"Se desarrollará un diagnóstico de los espacios de diálogos y canales de publicación e información para garantizar el nivel de satisfacción de los ciudadanos, usuarios y grupos de interés.")</f>
        <v>Se desarrollará un diagnóstico de los espacios de diálogos y canales de publicación e información para garantizar el nivel de satisfacción de los ciudadanos, usuarios y grupos de interés.</v>
      </c>
      <c r="Q219" s="11">
        <f ca="1">IFERROR(__xludf.DUMMYFUNCTION("""COMPUTED_VALUE"""),44834)</f>
        <v>44834</v>
      </c>
      <c r="R219" s="12">
        <f ca="1">IFERROR(__xludf.DUMMYFUNCTION("""COMPUTED_VALUE"""),1)</f>
        <v>1</v>
      </c>
      <c r="S219" s="10" t="str">
        <f ca="1">IFERROR(__xludf.DUMMYFUNCTION("""COMPUTED_VALUE"""),"Se desarrollará un diagnóstico de los espacios de diálogos y canales de publicación e información para garantizar el nivel de satisfacción de los ciudadanos, usuarios y grupos de interés. https://drive.google.com/drive/folders/1WMndEg6h3Y_O_iuwwkR76iJVy1B"&amp;"qto9x?usp=sharing")</f>
        <v>Se desarrollará un diagnóstico de los espacios de diálogos y canales de publicación e información para garantizar el nivel de satisfacción de los ciudadanos, usuarios y grupos de interés. https://drive.google.com/drive/folders/1WMndEg6h3Y_O_iuwwkR76iJVy1Bqto9x?usp=sharing</v>
      </c>
      <c r="T219" s="11">
        <f ca="1">IFERROR(__xludf.DUMMYFUNCTION("""COMPUTED_VALUE"""),44925)</f>
        <v>44925</v>
      </c>
      <c r="U219" s="10"/>
    </row>
    <row r="220" spans="1:21" ht="408" x14ac:dyDescent="0.2">
      <c r="A220" s="10" t="str">
        <f ca="1">IFERROR(__xludf.DUMMYFUNCTION("""COMPUTED_VALUE"""),"Gestión con valores para resultados")</f>
        <v>Gestión con valores para resultados</v>
      </c>
      <c r="B220" s="10" t="str">
        <f ca="1">IFERROR(__xludf.DUMMYFUNCTION("""COMPUTED_VALUE"""),"Participación Ciudadana en la Gestión Pública - Rendición de Cuentas")</f>
        <v>Participación Ciudadana en la Gestión Pública - Rendición de Cuentas</v>
      </c>
      <c r="C220" s="10" t="str">
        <f ca="1">IFERROR(__xludf.DUMMYFUNCTION("""COMPUTED_VALUE"""),"Definir y organizar los espacios de diálogo de acuerdo a los grupos de interés y temas priorizados.")</f>
        <v>Definir y organizar los espacios de diálogo de acuerdo a los grupos de interés y temas priorizados.</v>
      </c>
      <c r="D220" s="10" t="str">
        <f ca="1">IFERROR(__xludf.DUMMYFUNCTION("""COMPUTED_VALUE"""),"Buzón fisico en el lugar del evento - Buzón virtual en la pagina web y comentarios en linea en las transmisiones en las redes sociales y canal de youtube")</f>
        <v>Buzón fisico en el lugar del evento - Buzón virtual en la pagina web y comentarios en linea en las transmisiones en las redes sociales y canal de youtube</v>
      </c>
      <c r="E220" s="10" t="str">
        <f ca="1">IFERROR(__xludf.DUMMYFUNCTION("""COMPUTED_VALUE"""),"Mecanismos presenciales y virtaules programados / Mecanismos presenciales y virtuales establecidos")</f>
        <v>Mecanismos presenciales y virtaules programados / Mecanismos presenciales y virtuales establecidos</v>
      </c>
      <c r="F220" s="11">
        <f ca="1">IFERROR(__xludf.DUMMYFUNCTION("""COMPUTED_VALUE"""),44564)</f>
        <v>44564</v>
      </c>
      <c r="G220" s="11">
        <f ca="1">IFERROR(__xludf.DUMMYFUNCTION("""COMPUTED_VALUE"""),44925)</f>
        <v>44925</v>
      </c>
      <c r="H220" s="10" t="str">
        <f ca="1">IFERROR(__xludf.DUMMYFUNCTION("""COMPUTED_VALUE"""),"Asesor de Prensa y Comunicaciones")</f>
        <v>Asesor de Prensa y Comunicaciones</v>
      </c>
      <c r="I220" s="12">
        <f ca="1">IFERROR(__xludf.DUMMYFUNCTION("""COMPUTED_VALUE"""),0)</f>
        <v>0</v>
      </c>
      <c r="J220" s="10" t="str">
        <f ca="1">IFERROR(__xludf.DUMMYFUNCTION("""COMPUTED_VALUE"""),"Se definirá y organizará los espacios de diálogo de acuerdo a los grupos de interés y temas priorizados.")</f>
        <v>Se definirá y organizará los espacios de diálogo de acuerdo a los grupos de interés y temas priorizados.</v>
      </c>
      <c r="K220" s="11">
        <f ca="1">IFERROR(__xludf.DUMMYFUNCTION("""COMPUTED_VALUE"""),44651)</f>
        <v>44651</v>
      </c>
      <c r="L220" s="12">
        <f ca="1">IFERROR(__xludf.DUMMYFUNCTION("""COMPUTED_VALUE"""),0)</f>
        <v>0</v>
      </c>
      <c r="M220" s="10" t="str">
        <f ca="1">IFERROR(__xludf.DUMMYFUNCTION("""COMPUTED_VALUE"""),"Se dispondrán de espacios de diálogo presenciales y virtuales de acuerdo a los grupos identificados y con base a los temas priorizados.")</f>
        <v>Se dispondrán de espacios de diálogo presenciales y virtuales de acuerdo a los grupos identificados y con base a los temas priorizados.</v>
      </c>
      <c r="N220" s="11">
        <f ca="1">IFERROR(__xludf.DUMMYFUNCTION("""COMPUTED_VALUE"""),44742)</f>
        <v>44742</v>
      </c>
      <c r="O220" s="12">
        <f ca="1">IFERROR(__xludf.DUMMYFUNCTION("""COMPUTED_VALUE"""),0)</f>
        <v>0</v>
      </c>
      <c r="P220" s="10" t="str">
        <f ca="1">IFERROR(__xludf.DUMMYFUNCTION("""COMPUTED_VALUE"""),"Se dispondrán de espacios de diálogo presenciales y virtuales de acuerdo a los grupos identificados y con base a los temas priorizados durante la realización de la rendición de cuentas, adicionalmente, se realizará la transmisión del evento a través de la"&amp;"s redes sociales oficiales.  ")</f>
        <v xml:space="preserve">Se dispondrán de espacios de diálogo presenciales y virtuales de acuerdo a los grupos identificados y con base a los temas priorizados durante la realización de la rendición de cuentas, adicionalmente, se realizará la transmisión del evento a través de las redes sociales oficiales.  </v>
      </c>
      <c r="Q220" s="11">
        <f ca="1">IFERROR(__xludf.DUMMYFUNCTION("""COMPUTED_VALUE"""),44834)</f>
        <v>44834</v>
      </c>
      <c r="R220" s="12">
        <f ca="1">IFERROR(__xludf.DUMMYFUNCTION("""COMPUTED_VALUE"""),1)</f>
        <v>1</v>
      </c>
      <c r="S220" s="10" t="str">
        <f ca="1">IFERROR(__xludf.DUMMYFUNCTION("""COMPUTED_VALUE"""),"Se dispondrán de espacios de diálogo presenciales y virtuales de acuerdo a los grupos identificados y con base a los temas priorizados durante la realización de la rendición de cuentas, adicionalmente, se realizará la transmisión del evento a través de la"&amp;"s redes sociales oficiales.  https://drive.google.com/drive/folders/1qN9ElurlyuxUSZDD9gi2ozrdRM8tizHp?usp=sharing")</f>
        <v>Se dispondrán de espacios de diálogo presenciales y virtuales de acuerdo a los grupos identificados y con base a los temas priorizados durante la realización de la rendición de cuentas, adicionalmente, se realizará la transmisión del evento a través de las redes sociales oficiales.  https://drive.google.com/drive/folders/1qN9ElurlyuxUSZDD9gi2ozrdRM8tizHp?usp=sharing</v>
      </c>
      <c r="T220" s="11">
        <f ca="1">IFERROR(__xludf.DUMMYFUNCTION("""COMPUTED_VALUE"""),44925)</f>
        <v>44925</v>
      </c>
      <c r="U220" s="10"/>
    </row>
    <row r="221" spans="1:21" ht="331.5" x14ac:dyDescent="0.2">
      <c r="A221" s="10" t="str">
        <f ca="1">IFERROR(__xludf.DUMMYFUNCTION("""COMPUTED_VALUE"""),"Gestión con valores para resultados")</f>
        <v>Gestión con valores para resultados</v>
      </c>
      <c r="B221" s="10" t="str">
        <f ca="1">IFERROR(__xludf.DUMMYFUNCTION("""COMPUTED_VALUE"""),"Participación Ciudadana en la Gestión Pública - Rendición de Cuentas")</f>
        <v>Participación Ciudadana en la Gestión Pública - Rendición de Cuentas</v>
      </c>
      <c r="C221" s="10" t="str">
        <f ca="1">IFERROR(__xludf.DUMMYFUNCTION("""COMPUTED_VALUE"""),"Convocar a través de medios tradicionales (Radio, televisión, prensa, carteleras, perifoneo, entre otros) a los ciudadanos y grupos de interés, de acuerdo a los espacios de rendición de cuentas definidos.")</f>
        <v>Convocar a través de medios tradicionales (Radio, televisión, prensa, carteleras, perifoneo, entre otros) a los ciudadanos y grupos de interés, de acuerdo a los espacios de rendición de cuentas definidos.</v>
      </c>
      <c r="D221" s="10" t="str">
        <f ca="1">IFERROR(__xludf.DUMMYFUNCTION("""COMPUTED_VALUE"""),"Plan de convocatoria a los medios establecidos (Tradicionales) en; Fisico, virtual, perifoneo.")</f>
        <v>Plan de convocatoria a los medios establecidos (Tradicionales) en; Fisico, virtual, perifoneo.</v>
      </c>
      <c r="E221" s="10" t="str">
        <f ca="1">IFERROR(__xludf.DUMMYFUNCTION("""COMPUTED_VALUE"""),"Medios de información convocados / Medios de comunicación asistentes a la jornada.")</f>
        <v>Medios de información convocados / Medios de comunicación asistentes a la jornada.</v>
      </c>
      <c r="F221" s="11">
        <f ca="1">IFERROR(__xludf.DUMMYFUNCTION("""COMPUTED_VALUE"""),44564)</f>
        <v>44564</v>
      </c>
      <c r="G221" s="11">
        <f ca="1">IFERROR(__xludf.DUMMYFUNCTION("""COMPUTED_VALUE"""),44925)</f>
        <v>44925</v>
      </c>
      <c r="H221" s="10" t="str">
        <f ca="1">IFERROR(__xludf.DUMMYFUNCTION("""COMPUTED_VALUE"""),"Asesor de Prensa y Comunicaciones")</f>
        <v>Asesor de Prensa y Comunicaciones</v>
      </c>
      <c r="I221" s="12">
        <f ca="1">IFERROR(__xludf.DUMMYFUNCTION("""COMPUTED_VALUE"""),0)</f>
        <v>0</v>
      </c>
      <c r="J221" s="10" t="str">
        <f ca="1">IFERROR(__xludf.DUMMYFUNCTION("""COMPUTED_VALUE"""),"Se convocará a través de medios tradicionales (Radio, televisión, prensa, carteleras, perifoneo, entre otros) a los ciudadanos y grupos de interés, de acuerdo a los espacios de rendición de cuentas definidos.")</f>
        <v>Se convocará a través de medios tradicionales (Radio, televisión, prensa, carteleras, perifoneo, entre otros) a los ciudadanos y grupos de interés, de acuerdo a los espacios de rendición de cuentas definidos.</v>
      </c>
      <c r="K221" s="11">
        <f ca="1">IFERROR(__xludf.DUMMYFUNCTION("""COMPUTED_VALUE"""),44651)</f>
        <v>44651</v>
      </c>
      <c r="L221" s="12">
        <f ca="1">IFERROR(__xludf.DUMMYFUNCTION("""COMPUTED_VALUE"""),0)</f>
        <v>0</v>
      </c>
      <c r="M221" s="10" t="str">
        <f ca="1">IFERROR(__xludf.DUMMYFUNCTION("""COMPUTED_VALUE"""),"Se desarrollarán convocatorias a través de los medios tradicionales (Radio, televisión, prensa, carteleras, perifoneo, entre otros), de acuerdo a los espacios de rendición de cuentas definidos.")</f>
        <v>Se desarrollarán convocatorias a través de los medios tradicionales (Radio, televisión, prensa, carteleras, perifoneo, entre otros), de acuerdo a los espacios de rendición de cuentas definidos.</v>
      </c>
      <c r="N221" s="11">
        <f ca="1">IFERROR(__xludf.DUMMYFUNCTION("""COMPUTED_VALUE"""),44742)</f>
        <v>44742</v>
      </c>
      <c r="O221" s="12">
        <f ca="1">IFERROR(__xludf.DUMMYFUNCTION("""COMPUTED_VALUE"""),0.5)</f>
        <v>0.5</v>
      </c>
      <c r="P221" s="10" t="str">
        <f ca="1">IFERROR(__xludf.DUMMYFUNCTION("""COMPUTED_VALUE"""),"Se encuentran en desarrollo las convocatorias a través de los medios tradicionales (Radio, televisión, prensa, carteleras, perifoneo, entre otros), de acuerdo a los espacios de rendición de cuentas definidos. https://drive.google.com/drive/folders/1yKSAc8"&amp;"H7TVnv-OoaQnnS_I6q0rC7P3b_?usp=sharing")</f>
        <v>Se encuentran en desarrollo las convocatorias a través de los medios tradicionales (Radio, televisión, prensa, carteleras, perifoneo, entre otros), de acuerdo a los espacios de rendición de cuentas definidos. https://drive.google.com/drive/folders/1yKSAc8H7TVnv-OoaQnnS_I6q0rC7P3b_?usp=sharing</v>
      </c>
      <c r="Q221" s="11">
        <f ca="1">IFERROR(__xludf.DUMMYFUNCTION("""COMPUTED_VALUE"""),44834)</f>
        <v>44834</v>
      </c>
      <c r="R221" s="12">
        <f ca="1">IFERROR(__xludf.DUMMYFUNCTION("""COMPUTED_VALUE"""),1)</f>
        <v>1</v>
      </c>
      <c r="S221" s="10" t="str">
        <f ca="1">IFERROR(__xludf.DUMMYFUNCTION("""COMPUTED_VALUE"""),"Se encuentran en desarrollo las convocatorias a través de los medios tradicionales (Radio, televisión, prensa, carteleras, perifoneo, entre otros), de acuerdo a los espacios de rendición de cuentas definidos. https://drive.google.com/drive/folders/1yKSAc8"&amp;"H7TVnv-OoaQnnS_I6q0rC7P3b_?usp=sharing")</f>
        <v>Se encuentran en desarrollo las convocatorias a través de los medios tradicionales (Radio, televisión, prensa, carteleras, perifoneo, entre otros), de acuerdo a los espacios de rendición de cuentas definidos. https://drive.google.com/drive/folders/1yKSAc8H7TVnv-OoaQnnS_I6q0rC7P3b_?usp=sharing</v>
      </c>
      <c r="T221" s="11">
        <f ca="1">IFERROR(__xludf.DUMMYFUNCTION("""COMPUTED_VALUE"""),44925)</f>
        <v>44925</v>
      </c>
      <c r="U221" s="10"/>
    </row>
    <row r="222" spans="1:21" ht="409.5" x14ac:dyDescent="0.2">
      <c r="A222" s="10" t="str">
        <f ca="1">IFERROR(__xludf.DUMMYFUNCTION("""COMPUTED_VALUE"""),"Gestión con valores para resultados")</f>
        <v>Gestión con valores para resultados</v>
      </c>
      <c r="B222" s="10" t="str">
        <f ca="1">IFERROR(__xludf.DUMMYFUNCTION("""COMPUTED_VALUE"""),"Participación Ciudadana en la Gestión Pública - Rendición de Cuentas")</f>
        <v>Participación Ciudadana en la Gestión Pública - Rendición de Cuentas</v>
      </c>
      <c r="C222" s="10" t="str">
        <f ca="1">IFERROR(__xludf.DUMMYFUNCTION("""COMPUTED_VALUE"""),"Convocar a través de medios electrónicos (Facebook, Twitter, Instagram, whatsapp, entre otros) a los ciudadanos y grupos de interés, de acuerdo a los espacios de rendición de cuentas definidos.")</f>
        <v>Convocar a través de medios electrónicos (Facebook, Twitter, Instagram, whatsapp, entre otros) a los ciudadanos y grupos de interés, de acuerdo a los espacios de rendición de cuentas definidos.</v>
      </c>
      <c r="D222" s="10" t="str">
        <f ca="1">IFERROR(__xludf.DUMMYFUNCTION("""COMPUTED_VALUE"""),"Plan de convocatoria (Piezas publicitarias, Boletines Informativos y cuñas radiales)")</f>
        <v>Plan de convocatoria (Piezas publicitarias, Boletines Informativos y cuñas radiales)</v>
      </c>
      <c r="E222" s="10" t="str">
        <f ca="1">IFERROR(__xludf.DUMMYFUNCTION("""COMPUTED_VALUE"""),"Medios de información convocados / Medios de comunicación asistentes a la jornada.")</f>
        <v>Medios de información convocados / Medios de comunicación asistentes a la jornada.</v>
      </c>
      <c r="F222" s="11">
        <f ca="1">IFERROR(__xludf.DUMMYFUNCTION("""COMPUTED_VALUE"""),44564)</f>
        <v>44564</v>
      </c>
      <c r="G222" s="11">
        <f ca="1">IFERROR(__xludf.DUMMYFUNCTION("""COMPUTED_VALUE"""),44925)</f>
        <v>44925</v>
      </c>
      <c r="H222" s="10" t="str">
        <f ca="1">IFERROR(__xludf.DUMMYFUNCTION("""COMPUTED_VALUE"""),"Asesor de Prensa y Comunicaciones")</f>
        <v>Asesor de Prensa y Comunicaciones</v>
      </c>
      <c r="I222" s="12">
        <f ca="1">IFERROR(__xludf.DUMMYFUNCTION("""COMPUTED_VALUE"""),0)</f>
        <v>0</v>
      </c>
      <c r="J222" s="10" t="str">
        <f ca="1">IFERROR(__xludf.DUMMYFUNCTION("""COMPUTED_VALUE"""),"Se convocará a través de medios electrónicos (Facebook, Twitter, Instagram, whatsapp, entre otros) a los ciudadanos y grupos de interés, de acuerdo a los espacios de rendición de cuentas definidos.")</f>
        <v>Se convocará a través de medios electrónicos (Facebook, Twitter, Instagram, whatsapp, entre otros) a los ciudadanos y grupos de interés, de acuerdo a los espacios de rendición de cuentas definidos.</v>
      </c>
      <c r="K222" s="11">
        <f ca="1">IFERROR(__xludf.DUMMYFUNCTION("""COMPUTED_VALUE"""),44651)</f>
        <v>44651</v>
      </c>
      <c r="L222" s="12">
        <f ca="1">IFERROR(__xludf.DUMMYFUNCTION("""COMPUTED_VALUE"""),0)</f>
        <v>0</v>
      </c>
      <c r="M222" s="10" t="str">
        <f ca="1">IFERROR(__xludf.DUMMYFUNCTION("""COMPUTED_VALUE"""),"Se desarrollarán convocatorias a través de los diferentes medios electrónicos (Facebook, Twitter, Instagram, whatsapp, entre otros) a los ciudadanos y grupos de interes para la rendición de cuentas.")</f>
        <v>Se desarrollarán convocatorias a través de los diferentes medios electrónicos (Facebook, Twitter, Instagram, whatsapp, entre otros) a los ciudadanos y grupos de interes para la rendición de cuentas.</v>
      </c>
      <c r="N222" s="11">
        <f ca="1">IFERROR(__xludf.DUMMYFUNCTION("""COMPUTED_VALUE"""),44742)</f>
        <v>44742</v>
      </c>
      <c r="O222" s="12">
        <f ca="1">IFERROR(__xludf.DUMMYFUNCTION("""COMPUTED_VALUE"""),0.3)</f>
        <v>0.3</v>
      </c>
      <c r="P222" s="10" t="str">
        <f ca="1">IFERROR(__xludf.DUMMYFUNCTION("""COMPUTED_VALUE"""),"Se encuentran en desarrollo las convocatorias a través de los diferentes medios electrónicos (Facebook, Twitter, Instagram, whatsapp, entre otros) a los ciudadanos y grupos de interes para la rendición de cuentas. Evidencia: Convocatorias de la rendición "&amp;"de cuentas a través de redes sociales.  https://drive.google.com/drive/folders/1rZY5mVl3ulCJCXLK3fY9-2cTFpbs7wpv?usp=sharing")</f>
        <v>Se encuentran en desarrollo las convocatorias a través de los diferentes medios electrónicos (Facebook, Twitter, Instagram, whatsapp, entre otros) a los ciudadanos y grupos de interes para la rendición de cuentas. Evidencia: Convocatorias de la rendición de cuentas a través de redes sociales.  https://drive.google.com/drive/folders/1rZY5mVl3ulCJCXLK3fY9-2cTFpbs7wpv?usp=sharing</v>
      </c>
      <c r="Q222" s="11">
        <f ca="1">IFERROR(__xludf.DUMMYFUNCTION("""COMPUTED_VALUE"""),44834)</f>
        <v>44834</v>
      </c>
      <c r="R222" s="12">
        <f ca="1">IFERROR(__xludf.DUMMYFUNCTION("""COMPUTED_VALUE"""),1)</f>
        <v>1</v>
      </c>
      <c r="S222" s="10" t="str">
        <f ca="1">IFERROR(__xludf.DUMMYFUNCTION("""COMPUTED_VALUE"""),"Se encuentran en desarrollo las convocatorias a través de los diferentes medios electrónicos (Facebook, Twitter, Instagram, whatsapp, entre otros) a los ciudadanos y grupos de interes para la rendición de cuentas. Evidencia: Convocatorias de la rendición "&amp;"de cuentas a través de redes sociales.  https://drive.google.com/drive/folders/1rZY5mVl3ulCJCXLK3fY9-2cTFpbs7wpv?usp=sharing")</f>
        <v>Se encuentran en desarrollo las convocatorias a través de los diferentes medios electrónicos (Facebook, Twitter, Instagram, whatsapp, entre otros) a los ciudadanos y grupos de interes para la rendición de cuentas. Evidencia: Convocatorias de la rendición de cuentas a través de redes sociales.  https://drive.google.com/drive/folders/1rZY5mVl3ulCJCXLK3fY9-2cTFpbs7wpv?usp=sharing</v>
      </c>
      <c r="T222" s="11">
        <f ca="1">IFERROR(__xludf.DUMMYFUNCTION("""COMPUTED_VALUE"""),44925)</f>
        <v>44925</v>
      </c>
      <c r="U222" s="10"/>
    </row>
    <row r="223" spans="1:21" ht="409.5" x14ac:dyDescent="0.2">
      <c r="A223" s="10" t="str">
        <f ca="1">IFERROR(__xludf.DUMMYFUNCTION("""COMPUTED_VALUE"""),"Gestión con valores para resultados")</f>
        <v>Gestión con valores para resultados</v>
      </c>
      <c r="B223" s="10" t="str">
        <f ca="1">IFERROR(__xludf.DUMMYFUNCTION("""COMPUTED_VALUE"""),"Participación Ciudadana en la Gestión Pública - Rendición de Cuentas")</f>
        <v>Participación Ciudadana en la Gestión Pública - Rendición de Cuentas</v>
      </c>
      <c r="C223" s="10" t="str">
        <f ca="1">IFERROR(__xludf.DUMMYFUNCTION("""COMPUTED_VALUE"""),"Efectuar la publicidad sobre la metodología de participación en los espacios de rendición de cuentas definidos")</f>
        <v>Efectuar la publicidad sobre la metodología de participación en los espacios de rendición de cuentas definidos</v>
      </c>
      <c r="D223" s="10" t="str">
        <f ca="1">IFERROR(__xludf.DUMMYFUNCTION("""COMPUTED_VALUE"""),"Rendición de cuentas impresa.")</f>
        <v>Rendición de cuentas impresa.</v>
      </c>
      <c r="E223" s="10" t="str">
        <f ca="1">IFERROR(__xludf.DUMMYFUNCTION("""COMPUTED_VALUE"""),"Rendición de cuentas programada / Rendición de cuentas impresa")</f>
        <v>Rendición de cuentas programada / Rendición de cuentas impresa</v>
      </c>
      <c r="F223" s="11">
        <f ca="1">IFERROR(__xludf.DUMMYFUNCTION("""COMPUTED_VALUE"""),44564)</f>
        <v>44564</v>
      </c>
      <c r="G223" s="11">
        <f ca="1">IFERROR(__xludf.DUMMYFUNCTION("""COMPUTED_VALUE"""),44925)</f>
        <v>44925</v>
      </c>
      <c r="H223" s="10" t="str">
        <f ca="1">IFERROR(__xludf.DUMMYFUNCTION("""COMPUTED_VALUE"""),"Asesor de Prensa y Comunicaciones")</f>
        <v>Asesor de Prensa y Comunicaciones</v>
      </c>
      <c r="I223" s="12">
        <f ca="1">IFERROR(__xludf.DUMMYFUNCTION("""COMPUTED_VALUE"""),0)</f>
        <v>0</v>
      </c>
      <c r="J223" s="10" t="str">
        <f ca="1">IFERROR(__xludf.DUMMYFUNCTION("""COMPUTED_VALUE"""),"Se efectuará la publicidad sobre la metodología de participación en los espacios de rendición de cuentas definidos")</f>
        <v>Se efectuará la publicidad sobre la metodología de participación en los espacios de rendición de cuentas definidos</v>
      </c>
      <c r="K223" s="11">
        <f ca="1">IFERROR(__xludf.DUMMYFUNCTION("""COMPUTED_VALUE"""),44651)</f>
        <v>44651</v>
      </c>
      <c r="L223" s="12">
        <f ca="1">IFERROR(__xludf.DUMMYFUNCTION("""COMPUTED_VALUE"""),0)</f>
        <v>0</v>
      </c>
      <c r="M223" s="10" t="str">
        <f ca="1">IFERROR(__xludf.DUMMYFUNCTION("""COMPUTED_VALUE"""),"Se establecerá la difusión de la metodología de participación de los espacios de la rendición de cuentas a través de la publicidad permitida.")</f>
        <v>Se establecerá la difusión de la metodología de participación de los espacios de la rendición de cuentas a través de la publicidad permitida.</v>
      </c>
      <c r="N223" s="11">
        <f ca="1">IFERROR(__xludf.DUMMYFUNCTION("""COMPUTED_VALUE"""),44742)</f>
        <v>44742</v>
      </c>
      <c r="O223" s="12">
        <f ca="1">IFERROR(__xludf.DUMMYFUNCTION("""COMPUTED_VALUE"""),0.5)</f>
        <v>0.5</v>
      </c>
      <c r="P223" s="10" t="str">
        <f ca="1">IFERROR(__xludf.DUMMYFUNCTION("""COMPUTED_VALUE"""),"Se establecerá la difusión de la metodología de participación de los espacios de la rendición de cuentas a través de la publicidad permitida, dicionalmente, previo al evento se ubicaron urnas físicas en el centro comercial ciudad victoria, Unicentro, prim"&amp;"er piso de la alcaldía, centro cultural Lucy Tejada y dos urnas itinerantes rotarán por la zona rural de la ciudad con la finalidad de consolidar las inquitudes presentadas por los ciudadanos. https://drive.google.com/drive/folders/1rZY5mVl3ulCJCXLK3fY9-2"&amp;"cTFpbs7wpv?usp=sharing")</f>
        <v>Se establecerá la difusión de la metodología de participación de los espacios de la rendición de cuentas a través de la publicidad permitida, dicionalmente, previo al evento se ubicaron urnas físicas en el centro comercial ciudad victoria, Unicentro, primer piso de la alcaldía, centro cultural Lucy Tejada y dos urnas itinerantes rotarán por la zona rural de la ciudad con la finalidad de consolidar las inquitudes presentadas por los ciudadanos. https://drive.google.com/drive/folders/1rZY5mVl3ulCJCXLK3fY9-2cTFpbs7wpv?usp=sharing</v>
      </c>
      <c r="Q223" s="11">
        <f ca="1">IFERROR(__xludf.DUMMYFUNCTION("""COMPUTED_VALUE"""),44834)</f>
        <v>44834</v>
      </c>
      <c r="R223" s="12">
        <f ca="1">IFERROR(__xludf.DUMMYFUNCTION("""COMPUTED_VALUE"""),1)</f>
        <v>1</v>
      </c>
      <c r="S223" s="10" t="str">
        <f ca="1">IFERROR(__xludf.DUMMYFUNCTION("""COMPUTED_VALUE"""),"Se establecerá la difusión de la metodología de participación de los espacios de la rendición de cuentas a través de la publicidad permitida, dicionalmente, previo al evento se ubicaron urnas físicas en el centro comercial ciudad victoria, Unicentro, prim"&amp;"er piso de la alcaldía, centro cultural Lucy Tejada y dos urnas itinerantes rotarán por la zona rural de la ciudad con la finalidad de consolidar las inquitudes presentadas por los ciudadanos. https://drive.google.com/drive/folders/1gGHxcEZ7t50F9OjR-ZJc0y"&amp;"5ex_AkNJle?usp=sharing")</f>
        <v>Se establecerá la difusión de la metodología de participación de los espacios de la rendición de cuentas a través de la publicidad permitida, dicionalmente, previo al evento se ubicaron urnas físicas en el centro comercial ciudad victoria, Unicentro, primer piso de la alcaldía, centro cultural Lucy Tejada y dos urnas itinerantes rotarán por la zona rural de la ciudad con la finalidad de consolidar las inquitudes presentadas por los ciudadanos. https://drive.google.com/drive/folders/1gGHxcEZ7t50F9OjR-ZJc0y5ex_AkNJle?usp=sharing</v>
      </c>
      <c r="T223" s="11">
        <f ca="1">IFERROR(__xludf.DUMMYFUNCTION("""COMPUTED_VALUE"""),44925)</f>
        <v>44925</v>
      </c>
      <c r="U223" s="10"/>
    </row>
    <row r="224" spans="1:21" ht="357" x14ac:dyDescent="0.2">
      <c r="A224" s="10" t="str">
        <f ca="1">IFERROR(__xludf.DUMMYFUNCTION("""COMPUTED_VALUE"""),"Gestión con valores para resultados")</f>
        <v>Gestión con valores para resultados</v>
      </c>
      <c r="B224" s="10" t="str">
        <f ca="1">IFERROR(__xludf.DUMMYFUNCTION("""COMPUTED_VALUE"""),"Participación Ciudadana en la Gestión Pública - Rendición de Cuentas")</f>
        <v>Participación Ciudadana en la Gestión Pública - Rendición de Cuentas</v>
      </c>
      <c r="C224" s="10" t="str">
        <f ca="1">IFERROR(__xludf.DUMMYFUNCTION("""COMPUTED_VALUE"""),"Actualizar la página web de la entidad con la información preparada por la entidad.")</f>
        <v>Actualizar la página web de la entidad con la información preparada por la entidad.</v>
      </c>
      <c r="D224" s="10" t="str">
        <f ca="1">IFERROR(__xludf.DUMMYFUNCTION("""COMPUTED_VALUE"""),"Publicación de información sobre rendición de cuentas en el portal web, de acuerdo con solicitudes recibidas")</f>
        <v>Publicación de información sobre rendición de cuentas en el portal web, de acuerdo con solicitudes recibidas</v>
      </c>
      <c r="E224" s="10" t="str">
        <f ca="1">IFERROR(__xludf.DUMMYFUNCTION("""COMPUTED_VALUE"""),"100% de información sobre rendición de cuentas disponible en el Portal Web")</f>
        <v>100% de información sobre rendición de cuentas disponible en el Portal Web</v>
      </c>
      <c r="F224" s="11">
        <f ca="1">IFERROR(__xludf.DUMMYFUNCTION("""COMPUTED_VALUE"""),44564)</f>
        <v>44564</v>
      </c>
      <c r="G224" s="11">
        <f ca="1">IFERROR(__xludf.DUMMYFUNCTION("""COMPUTED_VALUE"""),44925)</f>
        <v>44925</v>
      </c>
      <c r="H224" s="10" t="str">
        <f ca="1">IFERROR(__xludf.DUMMYFUNCTION("""COMPUTED_VALUE"""),"Direccion de Infraestructura Tecnologíca")</f>
        <v>Direccion de Infraestructura Tecnologíca</v>
      </c>
      <c r="I224" s="12">
        <f ca="1">IFERROR(__xludf.DUMMYFUNCTION("""COMPUTED_VALUE"""),0)</f>
        <v>0</v>
      </c>
      <c r="J224" s="10" t="str">
        <f ca="1">IFERROR(__xludf.DUMMYFUNCTION("""COMPUTED_VALUE"""),"En el primer trimestre, no se ha recibido solicitudes de publicación de información en el Portal Web, relacionadas con Rendición de Cuentas.")</f>
        <v>En el primer trimestre, no se ha recibido solicitudes de publicación de información en el Portal Web, relacionadas con Rendición de Cuentas.</v>
      </c>
      <c r="K224" s="11">
        <f ca="1">IFERROR(__xludf.DUMMYFUNCTION("""COMPUTED_VALUE"""),44651)</f>
        <v>44651</v>
      </c>
      <c r="L224" s="12">
        <f ca="1">IFERROR(__xludf.DUMMYFUNCTION("""COMPUTED_VALUE"""),0.5)</f>
        <v>0.5</v>
      </c>
      <c r="M224" s="10" t="str">
        <f ca="1">IFERROR(__xludf.DUMMYFUNCTION("""COMPUTED_VALUE"""),"En el segundo trimestre, se han publicado los informes de gestión presentados por las secretarías ante el Concejo Municipal, de acuerdo con las solicitudes recibidas:
 Transparencia y acceso a la información / Participa / 6.5 Rendición de cuentas / Info"&amp;"rmes de gestión focalizados
 https://www.pereira.gov.co/documentos/970/2022/.")</f>
        <v>En el segundo trimestre, se han publicado los informes de gestión presentados por las secretarías ante el Concejo Municipal, de acuerdo con las solicitudes recibidas:
 Transparencia y acceso a la información / Participa / 6.5 Rendición de cuentas / Informes de gestión focalizados
 https://www.pereira.gov.co/documentos/970/2022/.</v>
      </c>
      <c r="N224" s="11">
        <f ca="1">IFERROR(__xludf.DUMMYFUNCTION("""COMPUTED_VALUE"""),44742)</f>
        <v>44742</v>
      </c>
      <c r="O224" s="12">
        <f ca="1">IFERROR(__xludf.DUMMYFUNCTION("""COMPUTED_VALUE"""),0.75)</f>
        <v>0.75</v>
      </c>
      <c r="P224" s="10" t="str">
        <f ca="1">IFERROR(__xludf.DUMMYFUNCTION("""COMPUTED_VALUE"""),"En el tercer trimestre, se han publicado los informes de gestión presentados por las secretarías ante el Concejo Municipal, de acuerdo con las solicitudes recibidas: Transparencia y acceso a la información / Participa / 6.5 Rendición de cuentas / Informes"&amp;" de gestión focalizados https://www.pereira.gov.co/documentos/970/2022/.")</f>
        <v>En el tercer trimestre, se han publicado los informes de gestión presentados por las secretarías ante el Concejo Municipal, de acuerdo con las solicitudes recibidas: Transparencia y acceso a la información / Participa / 6.5 Rendición de cuentas / Informes de gestión focalizados https://www.pereira.gov.co/documentos/970/2022/.</v>
      </c>
      <c r="Q224" s="11">
        <f ca="1">IFERROR(__xludf.DUMMYFUNCTION("""COMPUTED_VALUE"""),44834)</f>
        <v>44834</v>
      </c>
      <c r="R224" s="12">
        <f ca="1">IFERROR(__xludf.DUMMYFUNCTION("""COMPUTED_VALUE"""),0.75)</f>
        <v>0.75</v>
      </c>
      <c r="S224" s="10" t="str">
        <f ca="1">IFERROR(__xludf.DUMMYFUNCTION("""COMPUTED_VALUE"""),"Publicación en el Portal Web de los Informes de Gestión presentados por las secretarías ante el Concejo Municipal:
 Transparencia y acceso a la información / Participa / 6.5 Rendición de cuentas / Informes de gestión focalizados
 https://www.pereira.gov"&amp;".co/documentos/970/2022/.")</f>
        <v>Publicación en el Portal Web de los Informes de Gestión presentados por las secretarías ante el Concejo Municipal:
 Transparencia y acceso a la información / Participa / 6.5 Rendición de cuentas / Informes de gestión focalizados
 https://www.pereira.gov.co/documentos/970/2022/.</v>
      </c>
      <c r="T224" s="11">
        <f ca="1">IFERROR(__xludf.DUMMYFUNCTION("""COMPUTED_VALUE"""),44925)</f>
        <v>44925</v>
      </c>
      <c r="U224" s="10"/>
    </row>
    <row r="225" spans="1:21" ht="409.5" x14ac:dyDescent="0.2">
      <c r="A225" s="10" t="str">
        <f ca="1">IFERROR(__xludf.DUMMYFUNCTION("""COMPUTED_VALUE"""),"Gestión con valores para resultados")</f>
        <v>Gestión con valores para resultados</v>
      </c>
      <c r="B225" s="10" t="str">
        <f ca="1">IFERROR(__xludf.DUMMYFUNCTION("""COMPUTED_VALUE"""),"Participación Ciudadana en la Gestión Pública - Rendición de Cuentas")</f>
        <v>Participación Ciudadana en la Gestión Pública - Rendición de Cuentas</v>
      </c>
      <c r="C225" s="10" t="str">
        <f ca="1">IFERROR(__xludf.DUMMYFUNCTION("""COMPUTED_VALUE"""),"Asegurar el suministro y acceso de información de forma previa a los ciudadanos y grupos de valor convocados, con relación a los temas a tratar en los ejercicios de rendición de cuentas definidos.")</f>
        <v>Asegurar el suministro y acceso de información de forma previa a los ciudadanos y grupos de valor convocados, con relación a los temas a tratar en los ejercicios de rendición de cuentas definidos.</v>
      </c>
      <c r="D225" s="10" t="str">
        <f ca="1">IFERROR(__xludf.DUMMYFUNCTION("""COMPUTED_VALUE"""),"Publicación de información sobre rendición de cuentas en el portal web, de acuerdo con solicitudes recibidas")</f>
        <v>Publicación de información sobre rendición de cuentas en el portal web, de acuerdo con solicitudes recibidas</v>
      </c>
      <c r="E225" s="10" t="str">
        <f ca="1">IFERROR(__xludf.DUMMYFUNCTION("""COMPUTED_VALUE"""),"100% de información sobre rendición de cuentas disponible en el Portal Web")</f>
        <v>100% de información sobre rendición de cuentas disponible en el Portal Web</v>
      </c>
      <c r="F225" s="11">
        <f ca="1">IFERROR(__xludf.DUMMYFUNCTION("""COMPUTED_VALUE"""),44564)</f>
        <v>44564</v>
      </c>
      <c r="G225" s="11">
        <f ca="1">IFERROR(__xludf.DUMMYFUNCTION("""COMPUTED_VALUE"""),44925)</f>
        <v>44925</v>
      </c>
      <c r="H225" s="10" t="str">
        <f ca="1">IFERROR(__xludf.DUMMYFUNCTION("""COMPUTED_VALUE"""),"Direccion de Infraestructura Tecnologíca")</f>
        <v>Direccion de Infraestructura Tecnologíca</v>
      </c>
      <c r="I225" s="12">
        <f ca="1">IFERROR(__xludf.DUMMYFUNCTION("""COMPUTED_VALUE"""),0)</f>
        <v>0</v>
      </c>
      <c r="J225" s="10" t="str">
        <f ca="1">IFERROR(__xludf.DUMMYFUNCTION("""COMPUTED_VALUE"""),"En el primer trimestre, no se ha recibido solicitudes de publicación de información en el Portal Web, relacionadas con Rendición de Cuentas.")</f>
        <v>En el primer trimestre, no se ha recibido solicitudes de publicación de información en el Portal Web, relacionadas con Rendición de Cuentas.</v>
      </c>
      <c r="K225" s="11">
        <f ca="1">IFERROR(__xludf.DUMMYFUNCTION("""COMPUTED_VALUE"""),44651)</f>
        <v>44651</v>
      </c>
      <c r="L225" s="12">
        <f ca="1">IFERROR(__xludf.DUMMYFUNCTION("""COMPUTED_VALUE"""),0)</f>
        <v>0</v>
      </c>
      <c r="M225" s="10" t="str">
        <f ca="1">IFERROR(__xludf.DUMMYFUNCTION("""COMPUTED_VALUE"""),"En el segundo trimestre, no se han recibido solicitudes de publicación de información en el Portal Web, relacionadas con ejercicios de Rendición de Cuentas 2022.")</f>
        <v>En el segundo trimestre, no se han recibido solicitudes de publicación de información en el Portal Web, relacionadas con ejercicios de Rendición de Cuentas 2022.</v>
      </c>
      <c r="N225" s="11">
        <f ca="1">IFERROR(__xludf.DUMMYFUNCTION("""COMPUTED_VALUE"""),44742)</f>
        <v>44742</v>
      </c>
      <c r="O225" s="12">
        <f ca="1">IFERROR(__xludf.DUMMYFUNCTION("""COMPUTED_VALUE"""),0.5)</f>
        <v>0.5</v>
      </c>
      <c r="P225" s="10" t="str">
        <f ca="1">IFERROR(__xludf.DUMMYFUNCTION("""COMPUTED_VALUE"""),"Se realiza la publicación en el Portal Web de:
Formulario para la recolección de preguntas de la ciudadanía para la Rendición de Cuentas del Alcalde:
https://www.pereira.gov.co/publicaciones/5755/participe-en-la-rendicion-de-cuentas-del-alcalde-carlos-ma"&amp;"ya/
Informe de Rendición de cuentas 2021 - 2022: https://www.pereira.gov.co/documentos/1052/rendicion-de-cuentas-2021-2022/
")</f>
        <v xml:space="preserve">Se realiza la publicación en el Portal Web de:
Formulario para la recolección de preguntas de la ciudadanía para la Rendición de Cuentas del Alcalde:
https://www.pereira.gov.co/publicaciones/5755/participe-en-la-rendicion-de-cuentas-del-alcalde-carlos-maya/
Informe de Rendición de cuentas 2021 - 2022: https://www.pereira.gov.co/documentos/1052/rendicion-de-cuentas-2021-2022/
</v>
      </c>
      <c r="Q225" s="11">
        <f ca="1">IFERROR(__xludf.DUMMYFUNCTION("""COMPUTED_VALUE"""),44834)</f>
        <v>44834</v>
      </c>
      <c r="R225" s="12">
        <f ca="1">IFERROR(__xludf.DUMMYFUNCTION("""COMPUTED_VALUE"""),1)</f>
        <v>1</v>
      </c>
      <c r="S225" s="10" t="str">
        <f ca="1">IFERROR(__xludf.DUMMYFUNCTION("""COMPUTED_VALUE"""),"Se realiza la publicación en el Portal Web de:
 Formulario para la recolección de preguntas de la ciudadanía para la Rendición de Cuentas del Alcalde:
 https://www.pereira.gov.co/publicaciones/5755/participe-en-la-rendicion-de-cuentas-del-alcalde-carlos"&amp;"-maya/
 Informe de Rendición de cuentas 2021 - 2022: https://www.pereira.gov.co/documentos/1052/rendicion-de-cuentas-2021-2022/
 Consolidado de respuestas Urnas Físicas y Virtual Audiencia Pública de Rendición de Cuentas.
 https://www.pereira.gov.co/d"&amp;"ocumentos/1052/rendicion-de-cuentas-2021-2022/")</f>
        <v>Se realiza la publicación en el Portal Web de:
 Formulario para la recolección de preguntas de la ciudadanía para la Rendición de Cuentas del Alcalde:
 https://www.pereira.gov.co/publicaciones/5755/participe-en-la-rendicion-de-cuentas-del-alcalde-carlos-maya/
 Informe de Rendición de cuentas 2021 - 2022: https://www.pereira.gov.co/documentos/1052/rendicion-de-cuentas-2021-2022/
 Consolidado de respuestas Urnas Físicas y Virtual Audiencia Pública de Rendición de Cuentas.
 https://www.pereira.gov.co/documentos/1052/rendicion-de-cuentas-2021-2022/</v>
      </c>
      <c r="T225" s="11">
        <f ca="1">IFERROR(__xludf.DUMMYFUNCTION("""COMPUTED_VALUE"""),44925)</f>
        <v>44925</v>
      </c>
      <c r="U225" s="10"/>
    </row>
    <row r="226" spans="1:21" ht="409.5" x14ac:dyDescent="0.2">
      <c r="A226" s="10" t="str">
        <f ca="1">IFERROR(__xludf.DUMMYFUNCTION("""COMPUTED_VALUE"""),"Gestión con valores para resultados")</f>
        <v>Gestión con valores para resultados</v>
      </c>
      <c r="B226" s="10" t="str">
        <f ca="1">IFERROR(__xludf.DUMMYFUNCTION("""COMPUTED_VALUE"""),"Participación Ciudadana en la Gestión Pública - Rendición de Cuentas")</f>
        <v>Participación Ciudadana en la Gestión Pública - Rendición de Cuentas</v>
      </c>
      <c r="C226" s="10" t="str">
        <f ca="1">IFERROR(__xludf.DUMMYFUNCTION("""COMPUTED_VALUE"""),"Implementar los canales y mecanismos virtuales que complementarán las acciones de diálogo definidas para la rendición de cuentas sobre temas específicos y para los temas generales.")</f>
        <v>Implementar los canales y mecanismos virtuales que complementarán las acciones de diálogo definidas para la rendición de cuentas sobre temas específicos y para los temas generales.</v>
      </c>
      <c r="D226" s="10" t="str">
        <f ca="1">IFERROR(__xludf.DUMMYFUNCTION("""COMPUTED_VALUE"""),"Mecanismos virtuales disponibles en el Portal Web, de acuerdo con las solicitudes recibidas.")</f>
        <v>Mecanismos virtuales disponibles en el Portal Web, de acuerdo con las solicitudes recibidas.</v>
      </c>
      <c r="E226" s="10" t="str">
        <f ca="1">IFERROR(__xludf.DUMMYFUNCTION("""COMPUTED_VALUE"""),"Mecanismos virtuales publicados / Mecanismos virtuales programados")</f>
        <v>Mecanismos virtuales publicados / Mecanismos virtuales programados</v>
      </c>
      <c r="F226" s="11">
        <f ca="1">IFERROR(__xludf.DUMMYFUNCTION("""COMPUTED_VALUE"""),44564)</f>
        <v>44564</v>
      </c>
      <c r="G226" s="11">
        <f ca="1">IFERROR(__xludf.DUMMYFUNCTION("""COMPUTED_VALUE"""),44925)</f>
        <v>44925</v>
      </c>
      <c r="H226" s="10" t="str">
        <f ca="1">IFERROR(__xludf.DUMMYFUNCTION("""COMPUTED_VALUE"""),"Direccion de Infraestructura Tecnologíca")</f>
        <v>Direccion de Infraestructura Tecnologíca</v>
      </c>
      <c r="I226" s="12">
        <f ca="1">IFERROR(__xludf.DUMMYFUNCTION("""COMPUTED_VALUE"""),0)</f>
        <v>0</v>
      </c>
      <c r="J226" s="10" t="str">
        <f ca="1">IFERROR(__xludf.DUMMYFUNCTION("""COMPUTED_VALUE"""),"En el primer trimestre, no se ha recibido solicitudes de publicación de mecanismos como encuestas, foros o formularios en el Portal Web, relacionadas con Rendición de Cuentas.")</f>
        <v>En el primer trimestre, no se ha recibido solicitudes de publicación de mecanismos como encuestas, foros o formularios en el Portal Web, relacionadas con Rendición de Cuentas.</v>
      </c>
      <c r="K226" s="11">
        <f ca="1">IFERROR(__xludf.DUMMYFUNCTION("""COMPUTED_VALUE"""),44651)</f>
        <v>44651</v>
      </c>
      <c r="L226" s="12">
        <f ca="1">IFERROR(__xludf.DUMMYFUNCTION("""COMPUTED_VALUE"""),0)</f>
        <v>0</v>
      </c>
      <c r="M226" s="10" t="str">
        <f ca="1">IFERROR(__xludf.DUMMYFUNCTION("""COMPUTED_VALUE"""),"Se realiza la publicación en el Portal Web de:
Formulario para la recolección de preguntas de la ciudadanía para la Rendición de Cuentas del Alcalde:
https://www.pereira.gov.co/publicaciones/5755/participe-en-la-rendicion-de-cuentas-del-alcalde-carlos"&amp;"-maya/
Informe de Rendición de cuentas 2021 - 2022: https://www.pereira.gov.co/documentos/1052/rendicion-de-cuentas-2021-2022/
Se realiza la publicación en el Portal Web de:
Formulario para la recolección de preguntas de la ciudadanía para la Ren"&amp;"dición de Cuentas del Alcalde:
https://www.pereira.gov.co/publicaciones/5755/participe-en-la-rendicion-de-cuentas-del-alcalde-carlos-maya/
Informe de Rendición de cuentas 2021 - 2022: https://www.pereira.gov.co/documentos/1052/rendicion-de-cuentas-202"&amp;"1-2022/
")</f>
        <v xml:space="preserve">Se realiza la publicación en el Portal Web de:
Formulario para la recolección de preguntas de la ciudadanía para la Rendición de Cuentas del Alcalde:
https://www.pereira.gov.co/publicaciones/5755/participe-en-la-rendicion-de-cuentas-del-alcalde-carlos-maya/
Informe de Rendición de cuentas 2021 - 2022: https://www.pereira.gov.co/documentos/1052/rendicion-de-cuentas-2021-2022/
Se realiza la publicación en el Portal Web de:
Formulario para la recolección de preguntas de la ciudadanía para la Rendición de Cuentas del Alcalde:
https://www.pereira.gov.co/publicaciones/5755/participe-en-la-rendicion-de-cuentas-del-alcalde-carlos-maya/
Informe de Rendición de cuentas 2021 - 2022: https://www.pereira.gov.co/documentos/1052/rendicion-de-cuentas-2021-2022/
</v>
      </c>
      <c r="N226" s="11">
        <f ca="1">IFERROR(__xludf.DUMMYFUNCTION("""COMPUTED_VALUE"""),44742)</f>
        <v>44742</v>
      </c>
      <c r="O226" s="12">
        <f ca="1">IFERROR(__xludf.DUMMYFUNCTION("""COMPUTED_VALUE"""),0.5)</f>
        <v>0.5</v>
      </c>
      <c r="P226" s="10" t="str">
        <f ca="1">IFERROR(__xludf.DUMMYFUNCTION("""COMPUTED_VALUE"""),"Se realiza la publicación en el Portal Web de:
Formulario para la recolección de preguntas de la ciudadanía para la Rendición de Cuentas del Alcalde:
https://www.pereira.gov.co/publicaciones/5755/participe-en-la-rendicion-de-cuentas-del-alcalde-carlos-ma"&amp;"ya/
Informe de Rendición de cuentas 2021 - 2022: https://www.pereira.gov.co/documentos/1052/rendicion-de-cuentas-2021-2022/
")</f>
        <v xml:space="preserve">Se realiza la publicación en el Portal Web de:
Formulario para la recolección de preguntas de la ciudadanía para la Rendición de Cuentas del Alcalde:
https://www.pereira.gov.co/publicaciones/5755/participe-en-la-rendicion-de-cuentas-del-alcalde-carlos-maya/
Informe de Rendición de cuentas 2021 - 2022: https://www.pereira.gov.co/documentos/1052/rendicion-de-cuentas-2021-2022/
</v>
      </c>
      <c r="Q226" s="11">
        <f ca="1">IFERROR(__xludf.DUMMYFUNCTION("""COMPUTED_VALUE"""),44834)</f>
        <v>44834</v>
      </c>
      <c r="R226" s="12">
        <f ca="1">IFERROR(__xludf.DUMMYFUNCTION("""COMPUTED_VALUE"""),1)</f>
        <v>1</v>
      </c>
      <c r="S226" s="10" t="str">
        <f ca="1">IFERROR(__xludf.DUMMYFUNCTION("""COMPUTED_VALUE"""),"Se realiza la publicación en el Portal Web de:
 Formulario para la recolección de preguntas de la ciudadanía para la Rendición de Cuentas del Alcalde:
 https://www.pereira.gov.co/publicaciones/5755/participe-en-la-rendicion-de-cuentas-del-alcalde-carlos"&amp;"-maya/
 Informe de Rendición de cuentas 2021 - 2022: https://www.pereira.gov.co/documentos/1052/rendicion-de-cuentas-2021-2022/
 Consolidado de respuestas Urnas Físicas y Virtual Audiencia Pública de Rendición de Cuentas.
 https://www.pereira.gov.co/d"&amp;"ocumentos/1052/rendicion-de-cuentas-2021-2022/")</f>
        <v>Se realiza la publicación en el Portal Web de:
 Formulario para la recolección de preguntas de la ciudadanía para la Rendición de Cuentas del Alcalde:
 https://www.pereira.gov.co/publicaciones/5755/participe-en-la-rendicion-de-cuentas-del-alcalde-carlos-maya/
 Informe de Rendición de cuentas 2021 - 2022: https://www.pereira.gov.co/documentos/1052/rendicion-de-cuentas-2021-2022/
 Consolidado de respuestas Urnas Físicas y Virtual Audiencia Pública de Rendición de Cuentas.
 https://www.pereira.gov.co/documentos/1052/rendicion-de-cuentas-2021-2022/</v>
      </c>
      <c r="T226" s="11">
        <f ca="1">IFERROR(__xludf.DUMMYFUNCTION("""COMPUTED_VALUE"""),44925)</f>
        <v>44925</v>
      </c>
      <c r="U226" s="10"/>
    </row>
    <row r="227" spans="1:21" ht="408" x14ac:dyDescent="0.2">
      <c r="A227" s="10" t="str">
        <f ca="1">IFERROR(__xludf.DUMMYFUNCTION("""COMPUTED_VALUE"""),"Gestión con valores para resultados")</f>
        <v>Gestión con valores para resultados</v>
      </c>
      <c r="B227" s="10" t="str">
        <f ca="1">IFERROR(__xludf.DUMMYFUNCTION("""COMPUTED_VALUE"""),"Participación Ciudadana en la Gestión Pública - Rendición de Cuentas")</f>
        <v>Participación Ciudadana en la Gestión Pública - Rendición de Cuentas</v>
      </c>
      <c r="C227" s="10" t="str">
        <f ca="1">IFERROR(__xludf.DUMMYFUNCTION("""COMPUTED_VALUE"""),"Publicar los resultados de la rendición de cuentas clasificando por categorías, las observaciones y comentarios de los ciudadanos, los grupos de valor y organismos de control, los cuales deberán ser visibilizados de forma masiva y mediante el mecanismo qu"&amp;"e empleó para convocar a los grupos de valor que participaron.")</f>
        <v>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v>
      </c>
      <c r="D227" s="10" t="str">
        <f ca="1">IFERROR(__xludf.DUMMYFUNCTION("""COMPUTED_VALUE"""),"Publicacion de informacion sobre rendicion de cuentas en el portal web, de acuerdo con solicitudes recibidas")</f>
        <v>Publicacion de informacion sobre rendicion de cuentas en el portal web, de acuerdo con solicitudes recibidas</v>
      </c>
      <c r="E227" s="10" t="str">
        <f ca="1">IFERROR(__xludf.DUMMYFUNCTION("""COMPUTED_VALUE"""),"Meta 100% de informacion sobre rendicion de cuentas disponib,les en el portal web")</f>
        <v>Meta 100% de informacion sobre rendicion de cuentas disponib,les en el portal web</v>
      </c>
      <c r="F227" s="11">
        <f ca="1">IFERROR(__xludf.DUMMYFUNCTION("""COMPUTED_VALUE"""),44564)</f>
        <v>44564</v>
      </c>
      <c r="G227" s="11">
        <f ca="1">IFERROR(__xludf.DUMMYFUNCTION("""COMPUTED_VALUE"""),44925)</f>
        <v>44925</v>
      </c>
      <c r="H227" s="10" t="str">
        <f ca="1">IFERROR(__xludf.DUMMYFUNCTION("""COMPUTED_VALUE"""),"Direccion de Infraestructura Tecnologíca")</f>
        <v>Direccion de Infraestructura Tecnologíca</v>
      </c>
      <c r="I227" s="12">
        <f ca="1">IFERROR(__xludf.DUMMYFUNCTION("""COMPUTED_VALUE"""),0)</f>
        <v>0</v>
      </c>
      <c r="J227" s="10" t="str">
        <f ca="1">IFERROR(__xludf.DUMMYFUNCTION("""COMPUTED_VALUE"""),"Publicacion el Portal Web, de la informacion remitida sobre rendicion de cuentas")</f>
        <v>Publicacion el Portal Web, de la informacion remitida sobre rendicion de cuentas</v>
      </c>
      <c r="K227" s="11">
        <f ca="1">IFERROR(__xludf.DUMMYFUNCTION("""COMPUTED_VALUE"""),44651)</f>
        <v>44651</v>
      </c>
      <c r="L227" s="12">
        <f ca="1">IFERROR(__xludf.DUMMYFUNCTION("""COMPUTED_VALUE"""),0)</f>
        <v>0</v>
      </c>
      <c r="M227" s="10" t="str">
        <f ca="1">IFERROR(__xludf.DUMMYFUNCTION("""COMPUTED_VALUE"""),"En el segundo trimestre, no se ha recibido solicitudes de publicación de las observaciones y comentarios de la ciudadanía, en el Portal Web, relacionadas con Rendición de Cuentas.")</f>
        <v>En el segundo trimestre, no se ha recibido solicitudes de publicación de las observaciones y comentarios de la ciudadanía, en el Portal Web, relacionadas con Rendición de Cuentas.</v>
      </c>
      <c r="N227" s="11">
        <f ca="1">IFERROR(__xludf.DUMMYFUNCTION("""COMPUTED_VALUE"""),44742)</f>
        <v>44742</v>
      </c>
      <c r="O227" s="12">
        <f ca="1">IFERROR(__xludf.DUMMYFUNCTION("""COMPUTED_VALUE"""),0)</f>
        <v>0</v>
      </c>
      <c r="P227" s="10" t="str">
        <f ca="1">IFERROR(__xludf.DUMMYFUNCTION("""COMPUTED_VALUE"""),"Actividad a realizarse posterior a la Audiencia de Rendición de Cuentas, al recibir la información para publicar de los resultados de la rendición de cuentas.")</f>
        <v>Actividad a realizarse posterior a la Audiencia de Rendición de Cuentas, al recibir la información para publicar de los resultados de la rendición de cuentas.</v>
      </c>
      <c r="Q227" s="11">
        <f ca="1">IFERROR(__xludf.DUMMYFUNCTION("""COMPUTED_VALUE"""),44834)</f>
        <v>44834</v>
      </c>
      <c r="R227" s="12">
        <f ca="1">IFERROR(__xludf.DUMMYFUNCTION("""COMPUTED_VALUE"""),1)</f>
        <v>1</v>
      </c>
      <c r="S227" s="10" t="str">
        <f ca="1">IFERROR(__xludf.DUMMYFUNCTION("""COMPUTED_VALUE"""),"Se realiza la publicación en el Portal Web de:
 Informe de Rendición de cuentas 2021 - 2022: https://www.pereira.gov.co/documentos/1052/rendicion-de-cuentas-2021-2022/
 Consolidado de respuestas Urnas Físicas y Virtual Audiencia Pública de Rendición d"&amp;"e Cuentas.
 https://www.pereira.gov.co/documentos/1052/rendicion-de-cuentas-2021-2022/")</f>
        <v>Se realiza la publicación en el Portal Web de:
 Informe de Rendición de cuentas 2021 - 2022: https://www.pereira.gov.co/documentos/1052/rendicion-de-cuentas-2021-2022/
 Consolidado de respuestas Urnas Físicas y Virtual Audiencia Pública de Rendición de Cuentas.
 https://www.pereira.gov.co/documentos/1052/rendicion-de-cuentas-2021-2022/</v>
      </c>
      <c r="T227" s="11">
        <f ca="1">IFERROR(__xludf.DUMMYFUNCTION("""COMPUTED_VALUE"""),44925)</f>
        <v>44925</v>
      </c>
      <c r="U227" s="10"/>
    </row>
    <row r="228" spans="1:21" ht="331.5" x14ac:dyDescent="0.2">
      <c r="A228" s="10" t="str">
        <f ca="1">IFERROR(__xludf.DUMMYFUNCTION("""COMPUTED_VALUE"""),"Gestión con valores para resultados")</f>
        <v>Gestión con valores para resultados</v>
      </c>
      <c r="B228" s="10" t="str">
        <f ca="1">IFERROR(__xludf.DUMMYFUNCTION("""COMPUTED_VALUE"""),"Participación Ciudadana en la Gestión Pública - Rendición de Cuentas")</f>
        <v>Participación Ciudadana en la Gestión Pública - Rendición de Cuentas</v>
      </c>
      <c r="C228" s="10" t="str">
        <f ca="1">IFERROR(__xludf.DUMMYFUNCTION("""COMPUTED_VALUE"""),"Preparar la información sobre la garantía de derechos humanos y compromisos frente a la construcción de paz, materializada en los programas, proyectos y servicios implementados, con sus respectivos indicadores y verificando la accesibilidad, asequibilidad"&amp;", adaptabilidad y calidad de los bienes y servicios.")</f>
        <v>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v>
      </c>
      <c r="D228" s="10" t="str">
        <f ca="1">IFERROR(__xludf.DUMMYFUNCTION("""COMPUTED_VALUE"""),"Realizar capacitaciones sobre socializacion y sensibilizacion sobre acuerdos de paz. Elaboracion proyecto de casa Municipal de memoria historica del conflicto y sus victimas")</f>
        <v>Realizar capacitaciones sobre socializacion y sensibilizacion sobre acuerdos de paz. Elaboracion proyecto de casa Municipal de memoria historica del conflicto y sus victimas</v>
      </c>
      <c r="E228" s="10" t="str">
        <f ca="1">IFERROR(__xludf.DUMMYFUNCTION("""COMPUTED_VALUE"""),"No. de capacitaciones / No. de capacitacioes Proyecto")</f>
        <v>No. de capacitaciones / No. de capacitacioes Proyecto</v>
      </c>
      <c r="F228" s="11">
        <f ca="1">IFERROR(__xludf.DUMMYFUNCTION("""COMPUTED_VALUE"""),44564)</f>
        <v>44564</v>
      </c>
      <c r="G228" s="11">
        <f ca="1">IFERROR(__xludf.DUMMYFUNCTION("""COMPUTED_VALUE"""),44925)</f>
        <v>44925</v>
      </c>
      <c r="H228" s="10" t="str">
        <f ca="1">IFERROR(__xludf.DUMMYFUNCTION("""COMPUTED_VALUE"""),"Jefe de oficina de paz, reconciliacion y posconflicto")</f>
        <v>Jefe de oficina de paz, reconciliacion y posconflicto</v>
      </c>
      <c r="I228" s="12">
        <f ca="1">IFERROR(__xludf.DUMMYFUNCTION("""COMPUTED_VALUE"""),0.15)</f>
        <v>0.15</v>
      </c>
      <c r="J228" s="10" t="str">
        <f ca="1">IFERROR(__xludf.DUMMYFUNCTION("""COMPUTED_VALUE"""),"Registro fotografico y pantallazos de las capacitaciones y espacios de sensibilización (virtuales) sobre los acuerdos de paz (porcentaje de avance de 10%) - Documento de formulación de proyecto del Centro Municipal de Memoria Histórica (porcentaje de avan"&amp;"ce de 20%)")</f>
        <v>Registro fotografico y pantallazos de las capacitaciones y espacios de sensibilización (virtuales) sobre los acuerdos de paz (porcentaje de avance de 10%) - Documento de formulación de proyecto del Centro Municipal de Memoria Histórica (porcentaje de avance de 20%)</v>
      </c>
      <c r="K228" s="11">
        <f ca="1">IFERROR(__xludf.DUMMYFUNCTION("""COMPUTED_VALUE"""),44651)</f>
        <v>44651</v>
      </c>
      <c r="L228" s="12">
        <f ca="1">IFERROR(__xludf.DUMMYFUNCTION("""COMPUTED_VALUE"""),0.15)</f>
        <v>0.15</v>
      </c>
      <c r="M228" s="10" t="str">
        <f ca="1">IFERROR(__xludf.DUMMYFUNCTION("""COMPUTED_VALUE"""),"Registro fotografico y pantallazos de las capacitaciones y espacios de sensibilización (virtuales) sobre los acuerdos de paz (porcentaje de avance de 10%) - Documento de formulación de proyecto del Centro Municipal de Memoria Histórica (porcentaje de avan"&amp;"ce de 20%)")</f>
        <v>Registro fotografico y pantallazos de las capacitaciones y espacios de sensibilización (virtuales) sobre los acuerdos de paz (porcentaje de avance de 10%) - Documento de formulación de proyecto del Centro Municipal de Memoria Histórica (porcentaje de avance de 20%)</v>
      </c>
      <c r="N228" s="11">
        <f ca="1">IFERROR(__xludf.DUMMYFUNCTION("""COMPUTED_VALUE"""),44742)</f>
        <v>44742</v>
      </c>
      <c r="O228" s="12">
        <f ca="1">IFERROR(__xludf.DUMMYFUNCTION("""COMPUTED_VALUE"""),0.75)</f>
        <v>0.75</v>
      </c>
      <c r="P228" s="10" t="str">
        <f ca="1">IFERROR(__xludf.DUMMYFUNCTION("""COMPUTED_VALUE"""),"Registro fotografico y pantallazos de las capacitaciones y espacios de sensibilización (virtuales) sobre los acuerdos de paz (porcentaje de avance de 50%) - Documento de formulación de proyecto del Centro Municipal de Memoria Histórica (porcentaje de avan"&amp;"ce de 100%)")</f>
        <v>Registro fotografico y pantallazos de las capacitaciones y espacios de sensibilización (virtuales) sobre los acuerdos de paz (porcentaje de avance de 50%) - Documento de formulación de proyecto del Centro Municipal de Memoria Histórica (porcentaje de avance de 100%)</v>
      </c>
      <c r="Q228" s="11">
        <f ca="1">IFERROR(__xludf.DUMMYFUNCTION("""COMPUTED_VALUE"""),44834)</f>
        <v>44834</v>
      </c>
      <c r="R228" s="12">
        <f ca="1">IFERROR(__xludf.DUMMYFUNCTION("""COMPUTED_VALUE"""),0.93)</f>
        <v>0.93</v>
      </c>
      <c r="S228" s="10" t="str">
        <f ca="1">IFERROR(__xludf.DUMMYFUNCTION("""COMPUTED_VALUE"""),"Registro fotografico y pantallazos de las capacitaciones y espacios de sensibilización (virtuales) sobre los acuerdos de paz (porcentaje de avance de 86%) - Documento de formulación de proyecto del Centro Municipal de Memoria Histórica (porcentaje de avan"&amp;"ce de 100%)")</f>
        <v>Registro fotografico y pantallazos de las capacitaciones y espacios de sensibilización (virtuales) sobre los acuerdos de paz (porcentaje de avance de 86%) - Documento de formulación de proyecto del Centro Municipal de Memoria Histórica (porcentaje de avance de 100%)</v>
      </c>
      <c r="T228" s="11">
        <f ca="1">IFERROR(__xludf.DUMMYFUNCTION("""COMPUTED_VALUE"""),44925)</f>
        <v>44925</v>
      </c>
      <c r="U228" s="10"/>
    </row>
    <row r="229" spans="1:21" ht="165.75" x14ac:dyDescent="0.2">
      <c r="A229" s="10" t="str">
        <f ca="1">IFERROR(__xludf.DUMMYFUNCTION("""COMPUTED_VALUE"""),"Gestión con valores para resultados")</f>
        <v>Gestión con valores para resultados</v>
      </c>
      <c r="B229" s="10" t="str">
        <f ca="1">IFERROR(__xludf.DUMMYFUNCTION("""COMPUTED_VALUE"""),"Participación Ciudadana en la Gestión Pública - Rendición de Cuentas")</f>
        <v>Participación Ciudadana en la Gestión Pública - Rendición de Cuentas</v>
      </c>
      <c r="C229" s="10" t="str">
        <f ca="1">IFERROR(__xludf.DUMMYFUNCTION("""COMPUTED_VALUE"""),"Incorporar en los informes dirigidos a los órganos de control y cuerpos colegiados los resultados de las recomendaciones y compromisos asumidas en los ejercicios de rendición de cuentas.")</f>
        <v>Incorporar en los informes dirigidos a los órganos de control y cuerpos colegiados los resultados de las recomendaciones y compromisos asumidas en los ejercicios de rendición de cuentas.</v>
      </c>
      <c r="D229" s="10" t="str">
        <f ca="1">IFERROR(__xludf.DUMMYFUNCTION("""COMPUTED_VALUE"""),"Informes dirigidos a los entes de control.")</f>
        <v>Informes dirigidos a los entes de control.</v>
      </c>
      <c r="E229" s="10" t="str">
        <f ca="1">IFERROR(__xludf.DUMMYFUNCTION("""COMPUTED_VALUE"""),"Informe final Rendicion de cuentas")</f>
        <v>Informe final Rendicion de cuentas</v>
      </c>
      <c r="F229" s="11">
        <f ca="1">IFERROR(__xludf.DUMMYFUNCTION("""COMPUTED_VALUE"""),44564)</f>
        <v>44564</v>
      </c>
      <c r="G229" s="11">
        <f ca="1">IFERROR(__xludf.DUMMYFUNCTION("""COMPUTED_VALUE"""),44925)</f>
        <v>44925</v>
      </c>
      <c r="H229" s="10" t="str">
        <f ca="1">IFERROR(__xludf.DUMMYFUNCTION("""COMPUTED_VALUE"""),"Asesor Control Interno")</f>
        <v>Asesor Control Interno</v>
      </c>
      <c r="I229" s="12">
        <f ca="1">IFERROR(__xludf.DUMMYFUNCTION("""COMPUTED_VALUE"""),0)</f>
        <v>0</v>
      </c>
      <c r="J229"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K229" s="11">
        <f ca="1">IFERROR(__xludf.DUMMYFUNCTION("""COMPUTED_VALUE"""),44651)</f>
        <v>44651</v>
      </c>
      <c r="L229" s="12">
        <f ca="1">IFERROR(__xludf.DUMMYFUNCTION("""COMPUTED_VALUE"""),0)</f>
        <v>0</v>
      </c>
      <c r="M229"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N229" s="11">
        <f ca="1">IFERROR(__xludf.DUMMYFUNCTION("""COMPUTED_VALUE"""),44742)</f>
        <v>44742</v>
      </c>
      <c r="O229" s="12">
        <f ca="1">IFERROR(__xludf.DUMMYFUNCTION("""COMPUTED_VALUE"""),0)</f>
        <v>0</v>
      </c>
      <c r="P229"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Q229" s="11">
        <f ca="1">IFERROR(__xludf.DUMMYFUNCTION("""COMPUTED_VALUE"""),44834)</f>
        <v>44834</v>
      </c>
      <c r="R229" s="12">
        <f ca="1">IFERROR(__xludf.DUMMYFUNCTION("""COMPUTED_VALUE"""),1)</f>
        <v>1</v>
      </c>
      <c r="S229" s="10" t="str">
        <f ca="1">IFERROR(__xludf.DUMMYFUNCTION("""COMPUTED_VALUE"""),"Socialización informe evaluación rendición de la cuenta a la pagina web de la alcadia, https://www.pereira.gov.co/documentos/1052/rendicion-de-cuentas-2021-2022/. ")</f>
        <v xml:space="preserve">Socialización informe evaluación rendición de la cuenta a la pagina web de la alcadia, https://www.pereira.gov.co/documentos/1052/rendicion-de-cuentas-2021-2022/. </v>
      </c>
      <c r="T229" s="11">
        <f ca="1">IFERROR(__xludf.DUMMYFUNCTION("""COMPUTED_VALUE"""),44925)</f>
        <v>44925</v>
      </c>
      <c r="U229" s="10"/>
    </row>
    <row r="230" spans="1:21" ht="357" x14ac:dyDescent="0.2">
      <c r="A230" s="10" t="str">
        <f ca="1">IFERROR(__xludf.DUMMYFUNCTION("""COMPUTED_VALUE"""),"Gestión con valores para resultados")</f>
        <v>Gestión con valores para resultados</v>
      </c>
      <c r="B230" s="10" t="str">
        <f ca="1">IFERROR(__xludf.DUMMYFUNCTION("""COMPUTED_VALUE"""),"Participación Ciudadana en la Gestión Pública - Rendición de Cuentas")</f>
        <v>Participación Ciudadana en la Gestión Pública - Rendición de Cuentas</v>
      </c>
      <c r="C230" s="10" t="str">
        <f ca="1">IFERROR(__xludf.DUMMYFUNCTION("""COMPUTED_VALUE"""),"Evaluar y verificar por parte de la oficina de control interno que se garanticen los mecanismos de participación ciudadana en la rendición de cuentas.")</f>
        <v>Evaluar y verificar por parte de la oficina de control interno que se garanticen los mecanismos de participación ciudadana en la rendición de cuentas.</v>
      </c>
      <c r="D230" s="10" t="str">
        <f ca="1">IFERROR(__xludf.DUMMYFUNCTION("""COMPUTED_VALUE"""),"Verificacion de los mecanismos de participacion ciudadana dispuesto por la Administracion Municipal")</f>
        <v>Verificacion de los mecanismos de participacion ciudadana dispuesto por la Administracion Municipal</v>
      </c>
      <c r="E230" s="10" t="str">
        <f ca="1">IFERROR(__xludf.DUMMYFUNCTION("""COMPUTED_VALUE"""),"Informe de evaluacion a la audiencia publica Rendicion de Cuentas")</f>
        <v>Informe de evaluacion a la audiencia publica Rendicion de Cuentas</v>
      </c>
      <c r="F230" s="11">
        <f ca="1">IFERROR(__xludf.DUMMYFUNCTION("""COMPUTED_VALUE"""),44564)</f>
        <v>44564</v>
      </c>
      <c r="G230" s="11">
        <f ca="1">IFERROR(__xludf.DUMMYFUNCTION("""COMPUTED_VALUE"""),44925)</f>
        <v>44925</v>
      </c>
      <c r="H230" s="10" t="str">
        <f ca="1">IFERROR(__xludf.DUMMYFUNCTION("""COMPUTED_VALUE"""),"Asesor Control Interno")</f>
        <v>Asesor Control Interno</v>
      </c>
      <c r="I230" s="12">
        <f ca="1">IFERROR(__xludf.DUMMYFUNCTION("""COMPUTED_VALUE"""),0)</f>
        <v>0</v>
      </c>
      <c r="J230"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K230" s="11">
        <f ca="1">IFERROR(__xludf.DUMMYFUNCTION("""COMPUTED_VALUE"""),44651)</f>
        <v>44651</v>
      </c>
      <c r="L230" s="12">
        <f ca="1">IFERROR(__xludf.DUMMYFUNCTION("""COMPUTED_VALUE"""),0)</f>
        <v>0</v>
      </c>
      <c r="M230"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N230" s="11">
        <f ca="1">IFERROR(__xludf.DUMMYFUNCTION("""COMPUTED_VALUE"""),44742)</f>
        <v>44742</v>
      </c>
      <c r="O230" s="12">
        <f ca="1">IFERROR(__xludf.DUMMYFUNCTION("""COMPUTED_VALUE"""),0)</f>
        <v>0</v>
      </c>
      <c r="P230"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Q230" s="11">
        <f ca="1">IFERROR(__xludf.DUMMYFUNCTION("""COMPUTED_VALUE"""),44834)</f>
        <v>44834</v>
      </c>
      <c r="R230" s="12">
        <f ca="1">IFERROR(__xludf.DUMMYFUNCTION("""COMPUTED_VALUE"""),1)</f>
        <v>1</v>
      </c>
      <c r="S230" s="10" t="str">
        <f ca="1">IFERROR(__xludf.DUMMYFUNCTION("""COMPUTED_VALUE"""),"Se ha verificado la participación ciudadana en la rendición de la cuenta https://facebook.com/1781801775520266 Youtube. https://youtu.be/6gpL2dClk00 ENCUESTA DE EVALUACIÓN AUDIENCIA PÚBLICA RENDICIÓN DE CUENTAS (pereira.gov.co) Rendición de Cuentas 2021 -"&amp;"2022 (pereira.gov.co)")</f>
        <v>Se ha verificado la participación ciudadana en la rendición de la cuenta https://facebook.com/1781801775520266 Youtube. https://youtu.be/6gpL2dClk00 ENCUESTA DE EVALUACIÓN AUDIENCIA PÚBLICA RENDICIÓN DE CUENTAS (pereira.gov.co) Rendición de Cuentas 2021 -2022 (pereira.gov.co)</v>
      </c>
      <c r="T230" s="11">
        <f ca="1">IFERROR(__xludf.DUMMYFUNCTION("""COMPUTED_VALUE"""),44925)</f>
        <v>44925</v>
      </c>
      <c r="U230" s="10"/>
    </row>
    <row r="231" spans="1:21" ht="267.75" x14ac:dyDescent="0.2">
      <c r="A231" s="10" t="str">
        <f ca="1">IFERROR(__xludf.DUMMYFUNCTION("""COMPUTED_VALUE"""),"Gestión con valores para resultados")</f>
        <v>Gestión con valores para resultados</v>
      </c>
      <c r="B231" s="10" t="str">
        <f ca="1">IFERROR(__xludf.DUMMYFUNCTION("""COMPUTED_VALUE"""),"Participación Ciudadana en la Gestión Pública - Rendición de Cuentas")</f>
        <v>Participación Ciudadana en la Gestión Pública - Rendición de Cuentas</v>
      </c>
      <c r="C231" s="10" t="str">
        <f ca="1">IFERROR(__xludf.DUMMYFUNCTION("""COMPUTED_VALUE"""),"Analizar las evaluaciones, recomendaciones u objeciones recibidas en el espacio de dialogo para la Rendicion de Cuentas")</f>
        <v>Analizar las evaluaciones, recomendaciones u objeciones recibidas en el espacio de dialogo para la Rendicion de Cuentas</v>
      </c>
      <c r="D231" s="10" t="str">
        <f ca="1">IFERROR(__xludf.DUMMYFUNCTION("""COMPUTED_VALUE"""),"Elaborar el informne de evaluacion de la Audiencia Publica")</f>
        <v>Elaborar el informne de evaluacion de la Audiencia Publica</v>
      </c>
      <c r="E231" s="10" t="str">
        <f ca="1">IFERROR(__xludf.DUMMYFUNCTION("""COMPUTED_VALUE"""),"Informe final")</f>
        <v>Informe final</v>
      </c>
      <c r="F231" s="11">
        <f ca="1">IFERROR(__xludf.DUMMYFUNCTION("""COMPUTED_VALUE"""),44564)</f>
        <v>44564</v>
      </c>
      <c r="G231" s="11">
        <f ca="1">IFERROR(__xludf.DUMMYFUNCTION("""COMPUTED_VALUE"""),44925)</f>
        <v>44925</v>
      </c>
      <c r="H231" s="10" t="str">
        <f ca="1">IFERROR(__xludf.DUMMYFUNCTION("""COMPUTED_VALUE"""),"Asesor Control Interno")</f>
        <v>Asesor Control Interno</v>
      </c>
      <c r="I231" s="12">
        <f ca="1">IFERROR(__xludf.DUMMYFUNCTION("""COMPUTED_VALUE"""),0)</f>
        <v>0</v>
      </c>
      <c r="J231" s="10" t="str">
        <f ca="1">IFERROR(__xludf.DUMMYFUNCTION("""COMPUTED_VALUE"""),"La oficina de Control Interno no ha recibido recomendaciones por parte del organismo de control")</f>
        <v>La oficina de Control Interno no ha recibido recomendaciones por parte del organismo de control</v>
      </c>
      <c r="K231" s="11">
        <f ca="1">IFERROR(__xludf.DUMMYFUNCTION("""COMPUTED_VALUE"""),44651)</f>
        <v>44651</v>
      </c>
      <c r="L231" s="12">
        <f ca="1">IFERROR(__xludf.DUMMYFUNCTION("""COMPUTED_VALUE"""),0)</f>
        <v>0</v>
      </c>
      <c r="M231" s="10" t="str">
        <f ca="1">IFERROR(__xludf.DUMMYFUNCTION("""COMPUTED_VALUE"""),"La oficina de Control Interno no ha recibido recomendaciones por parte del organismo de control")</f>
        <v>La oficina de Control Interno no ha recibido recomendaciones por parte del organismo de control</v>
      </c>
      <c r="N231" s="11">
        <f ca="1">IFERROR(__xludf.DUMMYFUNCTION("""COMPUTED_VALUE"""),44742)</f>
        <v>44742</v>
      </c>
      <c r="O231" s="12">
        <f ca="1">IFERROR(__xludf.DUMMYFUNCTION("""COMPUTED_VALUE"""),0)</f>
        <v>0</v>
      </c>
      <c r="P231" s="10" t="str">
        <f ca="1">IFERROR(__xludf.DUMMYFUNCTION("""COMPUTED_VALUE"""),"La oficina de Control Interno no ha recibido recomendaciones por parte del organismo de control")</f>
        <v>La oficina de Control Interno no ha recibido recomendaciones por parte del organismo de control</v>
      </c>
      <c r="Q231" s="11">
        <f ca="1">IFERROR(__xludf.DUMMYFUNCTION("""COMPUTED_VALUE"""),44834)</f>
        <v>44834</v>
      </c>
      <c r="R231" s="12">
        <f ca="1">IFERROR(__xludf.DUMMYFUNCTION("""COMPUTED_VALUE"""),1)</f>
        <v>1</v>
      </c>
      <c r="S231" s="10" t="str">
        <f ca="1">IFERROR(__xludf.DUMMYFUNCTION("""COMPUTED_VALUE"""),"Se aportará el informe de evaluación impartido por la oficina asesora de control interno, en donde se analizaron las recomendaciones del proceso de rendición de cuentas.  https://www.pereira.gov.co/documentos/1052/rendicion-de-cuentas-2021-2022/")</f>
        <v>Se aportará el informe de evaluación impartido por la oficina asesora de control interno, en donde se analizaron las recomendaciones del proceso de rendición de cuentas.  https://www.pereira.gov.co/documentos/1052/rendicion-de-cuentas-2021-2022/</v>
      </c>
      <c r="T231" s="11">
        <f ca="1">IFERROR(__xludf.DUMMYFUNCTION("""COMPUTED_VALUE"""),44925)</f>
        <v>44925</v>
      </c>
      <c r="U231" s="10"/>
    </row>
    <row r="232" spans="1:21" ht="267.75" x14ac:dyDescent="0.2">
      <c r="A232" s="10" t="str">
        <f ca="1">IFERROR(__xludf.DUMMYFUNCTION("""COMPUTED_VALUE"""),"Gestión con valores para resultados")</f>
        <v>Gestión con valores para resultados</v>
      </c>
      <c r="B232" s="10" t="str">
        <f ca="1">IFERROR(__xludf.DUMMYFUNCTION("""COMPUTED_VALUE"""),"Participación Ciudadana en la Gestión Pública - Rendición de Cuentas")</f>
        <v>Participación Ciudadana en la Gestión Pública - Rendición de Cuentas</v>
      </c>
      <c r="C232" s="10" t="str">
        <f ca="1">IFERROR(__xludf.DUMMYFUNCTION("""COMPUTED_VALUE"""),"Analizar las recomendaciones realizadas por los órganos de control frente a los informes de rendición de cuentas y establecer correctivos que optimicen la gestión y faciliten el cumplimiento de las metas del plan institucional.")</f>
        <v>Analizar las recomendaciones realizadas por los órganos de control frente a los informes de rendición de cuentas y establecer correctivos que optimicen la gestión y faciliten el cumplimiento de las metas del plan institucional.</v>
      </c>
      <c r="D232" s="10" t="str">
        <f ca="1">IFERROR(__xludf.DUMMYFUNCTION("""COMPUTED_VALUE"""),"Elaborar el informe de recomendaciones y establecer los correctivos")</f>
        <v>Elaborar el informe de recomendaciones y establecer los correctivos</v>
      </c>
      <c r="E232" s="10" t="str">
        <f ca="1">IFERROR(__xludf.DUMMYFUNCTION("""COMPUTED_VALUE"""),"informe")</f>
        <v>informe</v>
      </c>
      <c r="F232" s="11">
        <f ca="1">IFERROR(__xludf.DUMMYFUNCTION("""COMPUTED_VALUE"""),44564)</f>
        <v>44564</v>
      </c>
      <c r="G232" s="11">
        <f ca="1">IFERROR(__xludf.DUMMYFUNCTION("""COMPUTED_VALUE"""),44925)</f>
        <v>44925</v>
      </c>
      <c r="H232" s="10" t="str">
        <f ca="1">IFERROR(__xludf.DUMMYFUNCTION("""COMPUTED_VALUE"""),"Asesor Control Interno")</f>
        <v>Asesor Control Interno</v>
      </c>
      <c r="I232" s="12">
        <f ca="1">IFERROR(__xludf.DUMMYFUNCTION("""COMPUTED_VALUE"""),0)</f>
        <v>0</v>
      </c>
      <c r="J232"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K232" s="11">
        <f ca="1">IFERROR(__xludf.DUMMYFUNCTION("""COMPUTED_VALUE"""),44651)</f>
        <v>44651</v>
      </c>
      <c r="L232" s="12">
        <f ca="1">IFERROR(__xludf.DUMMYFUNCTION("""COMPUTED_VALUE"""),0)</f>
        <v>0</v>
      </c>
      <c r="M232"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N232" s="11">
        <f ca="1">IFERROR(__xludf.DUMMYFUNCTION("""COMPUTED_VALUE"""),44742)</f>
        <v>44742</v>
      </c>
      <c r="O232" s="12">
        <f ca="1">IFERROR(__xludf.DUMMYFUNCTION("""COMPUTED_VALUE"""),0)</f>
        <v>0</v>
      </c>
      <c r="P232"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Q232" s="11">
        <f ca="1">IFERROR(__xludf.DUMMYFUNCTION("""COMPUTED_VALUE"""),44834)</f>
        <v>44834</v>
      </c>
      <c r="R232" s="12">
        <f ca="1">IFERROR(__xludf.DUMMYFUNCTION("""COMPUTED_VALUE"""),1)</f>
        <v>1</v>
      </c>
      <c r="S232" s="10" t="str">
        <f ca="1">IFERROR(__xludf.DUMMYFUNCTION("""COMPUTED_VALUE"""),"Se aportará el informe de evaluación impartido por la oficina asesora de control interno, en donde se analizaron las recomendaciones del proceso de rendición de cuentas.  https://www.pereira.gov.co/documentos/1052/rendicion-de-cuentas-2021-2022/")</f>
        <v>Se aportará el informe de evaluación impartido por la oficina asesora de control interno, en donde se analizaron las recomendaciones del proceso de rendición de cuentas.  https://www.pereira.gov.co/documentos/1052/rendicion-de-cuentas-2021-2022/</v>
      </c>
      <c r="T232" s="11">
        <f ca="1">IFERROR(__xludf.DUMMYFUNCTION("""COMPUTED_VALUE"""),44925)</f>
        <v>44925</v>
      </c>
      <c r="U232" s="10"/>
    </row>
    <row r="233" spans="1:21" ht="409.5" x14ac:dyDescent="0.2">
      <c r="A233" s="10" t="str">
        <f ca="1">IFERROR(__xludf.DUMMYFUNCTION("""COMPUTED_VALUE"""),"Gestión con valores para resultados")</f>
        <v>Gestión con valores para resultados</v>
      </c>
      <c r="B233" s="10" t="str">
        <f ca="1">IFERROR(__xludf.DUMMYFUNCTION("""COMPUTED_VALUE"""),"Participación Ciudadana en la Gestión Pública - Rendición de Cuentas")</f>
        <v>Participación Ciudadana en la Gestión Pública - Rendición de Cuentas</v>
      </c>
      <c r="C233" s="10" t="str">
        <f ca="1">IFERROR(__xludf.DUMMYFUNCTION("""COMPUTED_VALUE"""),"Recopilar recomendaciones y sugerencias de los servidores públicos y ciudadanía a las actividades de capacitación, garantizando la cualificación de futuras actividades.")</f>
        <v>Recopilar recomendaciones y sugerencias de los servidores públicos y ciudadanía a las actividades de capacitación, garantizando la cualificación de futuras actividades.</v>
      </c>
      <c r="D233" s="10" t="str">
        <f ca="1">IFERROR(__xludf.DUMMYFUNCTION("""COMPUTED_VALUE"""),"Informe de recomendaciones de la ciudadanía")</f>
        <v>Informe de recomendaciones de la ciudadanía</v>
      </c>
      <c r="E233" s="10" t="str">
        <f ca="1">IFERROR(__xludf.DUMMYFUNCTION("""COMPUTED_VALUE"""),"Informe")</f>
        <v>Informe</v>
      </c>
      <c r="F233" s="11">
        <f ca="1">IFERROR(__xludf.DUMMYFUNCTION("""COMPUTED_VALUE"""),44564)</f>
        <v>44564</v>
      </c>
      <c r="G233" s="11">
        <f ca="1">IFERROR(__xludf.DUMMYFUNCTION("""COMPUTED_VALUE"""),44925)</f>
        <v>44925</v>
      </c>
      <c r="H233" s="10" t="str">
        <f ca="1">IFERROR(__xludf.DUMMYFUNCTION("""COMPUTED_VALUE"""),"Asesor Control Interno")</f>
        <v>Asesor Control Interno</v>
      </c>
      <c r="I233" s="12">
        <f ca="1">IFERROR(__xludf.DUMMYFUNCTION("""COMPUTED_VALUE"""),0)</f>
        <v>0</v>
      </c>
      <c r="J233" s="10" t="str">
        <f ca="1">IFERROR(__xludf.DUMMYFUNCTION("""COMPUTED_VALUE"""),"Esta actividad se realizará una vez se haga la rendición de Cuentas, la cual se programa para el cuarto trimestre")</f>
        <v>Esta actividad se realizará una vez se haga la rendición de Cuentas, la cual se programa para el cuarto trimestre</v>
      </c>
      <c r="K233" s="11">
        <f ca="1">IFERROR(__xludf.DUMMYFUNCTION("""COMPUTED_VALUE"""),44651)</f>
        <v>44651</v>
      </c>
      <c r="L233" s="12">
        <f ca="1">IFERROR(__xludf.DUMMYFUNCTION("""COMPUTED_VALUE"""),0)</f>
        <v>0</v>
      </c>
      <c r="M233" s="10" t="str">
        <f ca="1">IFERROR(__xludf.DUMMYFUNCTION("""COMPUTED_VALUE"""),"Esta actividad se realizará una vez se haga la rendición de Cuentas, la cual se programa para el cuarto trimestre, a la fecha no se han recibido recomendaciones y sugerencias de los servidores publicos y ciudadania.")</f>
        <v>Esta actividad se realizará una vez se haga la rendición de Cuentas, la cual se programa para el cuarto trimestre, a la fecha no se han recibido recomendaciones y sugerencias de los servidores publicos y ciudadania.</v>
      </c>
      <c r="N233" s="11">
        <f ca="1">IFERROR(__xludf.DUMMYFUNCTION("""COMPUTED_VALUE"""),44742)</f>
        <v>44742</v>
      </c>
      <c r="O233" s="12">
        <f ca="1">IFERROR(__xludf.DUMMYFUNCTION("""COMPUTED_VALUE"""),0)</f>
        <v>0</v>
      </c>
      <c r="P233" s="10" t="str">
        <f ca="1">IFERROR(__xludf.DUMMYFUNCTION("""COMPUTED_VALUE"""),"Esta actividad se realizará una  vez se haga la rendición de Cuentas, la cual se programa para el cuarto trimestre, a la fecha no se han recibido recomendaciones y sugerencias  de los servidores publicos y ciudadania. ")</f>
        <v xml:space="preserve">Esta actividad se realizará una  vez se haga la rendición de Cuentas, la cual se programa para el cuarto trimestre, a la fecha no se han recibido recomendaciones y sugerencias  de los servidores publicos y ciudadania. </v>
      </c>
      <c r="Q233" s="11">
        <f ca="1">IFERROR(__xludf.DUMMYFUNCTION("""COMPUTED_VALUE"""),44834)</f>
        <v>44834</v>
      </c>
      <c r="R233" s="12">
        <f ca="1">IFERROR(__xludf.DUMMYFUNCTION("""COMPUTED_VALUE"""),1)</f>
        <v>1</v>
      </c>
      <c r="S233" s="10" t="str">
        <f ca="1">IFERROR(__xludf.DUMMYFUNCTION("""COMPUTED_VALUE""")," a la fecha no se recibieron recomendaciones y sugerencias  de los servidores publicos y ciudadania, dado que se ha disuesto de la publicación de la encuesta digital, con la asiganciónd de casilla para realizar observaciones, sin que se haya diligenciado "&amp;"o reportado alguna, https://www.pereira.gov.co/publicaciones/5973/encuesta-de-evaluacion-audiencia-publica-rendicion-de-cuentas/")</f>
        <v xml:space="preserve"> a la fecha no se recibieron recomendaciones y sugerencias  de los servidores publicos y ciudadania, dado que se ha disuesto de la publicación de la encuesta digital, con la asiganciónd de casilla para realizar observaciones, sin que se haya diligenciado o reportado alguna, https://www.pereira.gov.co/publicaciones/5973/encuesta-de-evaluacion-audiencia-publica-rendicion-de-cuentas/</v>
      </c>
      <c r="T233" s="11">
        <f ca="1">IFERROR(__xludf.DUMMYFUNCTION("""COMPUTED_VALUE"""),44925)</f>
        <v>44925</v>
      </c>
      <c r="U233" s="10"/>
    </row>
    <row r="234" spans="1:21" ht="331.5" x14ac:dyDescent="0.2">
      <c r="A234" s="10" t="str">
        <f ca="1">IFERROR(__xludf.DUMMYFUNCTION("""COMPUTED_VALUE"""),"Gestión con valores para resultados")</f>
        <v>Gestión con valores para resultados</v>
      </c>
      <c r="B234" s="10" t="str">
        <f ca="1">IFERROR(__xludf.DUMMYFUNCTION("""COMPUTED_VALUE"""),"Participación Ciudadana en la Gestión Pública - Rendición de Cuentas")</f>
        <v>Participación Ciudadana en la Gestión Pública - Rendición de Cuentas</v>
      </c>
      <c r="C234" s="10" t="str">
        <f ca="1">IFERROR(__xludf.DUMMYFUNCTION("""COMPUTED_VALUE"""),"Garantizar la aplicación de mecanismos internos de sanción y atender los requerimientos del control externo como resultados de los ejercicios de rendición de cuentas.")</f>
        <v>Garantizar la aplicación de mecanismos internos de sanción y atender los requerimientos del control externo como resultados de los ejercicios de rendición de cuentas.</v>
      </c>
      <c r="D234" s="10" t="str">
        <f ca="1">IFERROR(__xludf.DUMMYFUNCTION("""COMPUTED_VALUE"""),"Registro de quejas, inconformidadespor parte de la comunidad")</f>
        <v>Registro de quejas, inconformidadespor parte de la comunidad</v>
      </c>
      <c r="E234" s="10" t="str">
        <f ca="1">IFERROR(__xludf.DUMMYFUNCTION("""COMPUTED_VALUE"""),"Numero de quejas realizadas sobre numero de quejas recibidas")</f>
        <v>Numero de quejas realizadas sobre numero de quejas recibidas</v>
      </c>
      <c r="F234" s="11">
        <f ca="1">IFERROR(__xludf.DUMMYFUNCTION("""COMPUTED_VALUE"""),44564)</f>
        <v>44564</v>
      </c>
      <c r="G234" s="11">
        <f ca="1">IFERROR(__xludf.DUMMYFUNCTION("""COMPUTED_VALUE"""),44925)</f>
        <v>44925</v>
      </c>
      <c r="H234" s="10" t="str">
        <f ca="1">IFERROR(__xludf.DUMMYFUNCTION("""COMPUTED_VALUE"""),"Director administrativo de Control Disciplinario")</f>
        <v>Director administrativo de Control Disciplinario</v>
      </c>
      <c r="I234" s="12">
        <f ca="1">IFERROR(__xludf.DUMMYFUNCTION("""COMPUTED_VALUE"""),0)</f>
        <v>0</v>
      </c>
      <c r="J234" s="10" t="str">
        <f ca="1">IFERROR(__xludf.DUMMYFUNCTION("""COMPUTED_VALUE"""),"Para este trimestreno se recibieron quejas respecto al proceso de reendicion de cuentas , este Despacho cuenta y da aplicación al mecanismo idoneo de sanción y para atender los requerimientos de control externo, el cual es la Ley 734 de 2002, especialment"&amp;"een sus artículos 35 y 48, numeral 49.")</f>
        <v>Para este trimestreno se recibieron quejas respecto al proceso de reendicion de cuentas , este Despacho cuenta y da aplicación al mecanismo idoneo de sanción y para atender los requerimientos de control externo, el cual es la Ley 734 de 2002, especialmenteen sus artículos 35 y 48, numeral 49.</v>
      </c>
      <c r="K234" s="11">
        <f ca="1">IFERROR(__xludf.DUMMYFUNCTION("""COMPUTED_VALUE"""),44651)</f>
        <v>44651</v>
      </c>
      <c r="L234" s="12">
        <f ca="1">IFERROR(__xludf.DUMMYFUNCTION("""COMPUTED_VALUE"""),0)</f>
        <v>0</v>
      </c>
      <c r="M234" s="10" t="str">
        <f ca="1">IFERROR(__xludf.DUMMYFUNCTION("""COMPUTED_VALUE"""),"Para este trimestreno se recibieron quejas respecto al proceso de reendicion de cuentas , este Despacho cuenta y da aplicación al mecanismo idoneo de sanción y para atender los requerimientos de control externo, el cual es la Ley 734 de 2002, especialment"&amp;"een sus artículos 35 y 48, numeral 49.")</f>
        <v>Para este trimestreno se recibieron quejas respecto al proceso de reendicion de cuentas , este Despacho cuenta y da aplicación al mecanismo idoneo de sanción y para atender los requerimientos de control externo, el cual es la Ley 734 de 2002, especialmenteen sus artículos 35 y 48, numeral 49.</v>
      </c>
      <c r="N234" s="11">
        <f ca="1">IFERROR(__xludf.DUMMYFUNCTION("""COMPUTED_VALUE"""),44742)</f>
        <v>44742</v>
      </c>
      <c r="O234" s="12">
        <f ca="1">IFERROR(__xludf.DUMMYFUNCTION("""COMPUTED_VALUE"""),0)</f>
        <v>0</v>
      </c>
      <c r="P234" s="10" t="str">
        <f ca="1">IFERROR(__xludf.DUMMYFUNCTION("""COMPUTED_VALUE""")," Esta Dirección informa que para este trimestre no se recibieron quejas respecto al proceso de reendicion de cuentas , este Despacho cuenta y da aplicación al mecanismo idoneo de sanción y para atender los requerimientos de control externo, el cual es la "&amp;"Ley 1952 de 2019.")</f>
        <v xml:space="preserve"> Esta Dirección informa que para este trimestre no se recibieron quejas respecto al proceso de reendicion de cuentas , este Despacho cuenta y da aplicación al mecanismo idoneo de sanción y para atender los requerimientos de control externo, el cual es la Ley 1952 de 2019.</v>
      </c>
      <c r="Q234" s="11">
        <f ca="1">IFERROR(__xludf.DUMMYFUNCTION("""COMPUTED_VALUE"""),44834)</f>
        <v>44834</v>
      </c>
      <c r="R234" s="12">
        <f ca="1">IFERROR(__xludf.DUMMYFUNCTION("""COMPUTED_VALUE"""),1)</f>
        <v>1</v>
      </c>
      <c r="S234" s="10" t="str">
        <f ca="1">IFERROR(__xludf.DUMMYFUNCTION("""COMPUTED_VALUE"""),"Esta Dirección no tiene actividades asignadas dentro del componente de rendición de cuentas.")</f>
        <v>Esta Dirección no tiene actividades asignadas dentro del componente de rendición de cuentas.</v>
      </c>
      <c r="T234" s="11"/>
      <c r="U234" s="10"/>
    </row>
    <row r="235" spans="1:21" ht="382.5" x14ac:dyDescent="0.2">
      <c r="A235" s="10" t="str">
        <f ca="1">IFERROR(__xludf.DUMMYFUNCTION("""COMPUTED_VALUE"""),"Gestión con valores para resultados")</f>
        <v>Gestión con valores para resultados</v>
      </c>
      <c r="B235" s="10" t="str">
        <f ca="1">IFERROR(__xludf.DUMMYFUNCTION("""COMPUTED_VALUE"""),"Participación Ciudadana en la Gestión Pública - Rendición de Cuentas")</f>
        <v>Participación Ciudadana en la Gestión Pública - Rendición de Cuentas</v>
      </c>
      <c r="C235" s="10" t="str">
        <f ca="1">IFERROR(__xludf.DUMMYFUNCTION("""COMPUTED_VALUE"""),"Identificar y documentar las debilidades y fortalezas de la entidad para promover la participación en la implementación de los ejercicios de rendición de cuentas con base en fuentes externas. (FURAG_INT_EDI)")</f>
        <v>Identificar y documentar las debilidades y fortalezas de la entidad para promover la participación en la implementación de los ejercicios de rendición de cuentas con base en fuentes externas. (FURAG_INT_EDI)</v>
      </c>
      <c r="D235" s="10" t="str">
        <f ca="1">IFERROR(__xludf.DUMMYFUNCTION("""COMPUTED_VALUE"""),"MATRIZ DOFA")</f>
        <v>MATRIZ DOFA</v>
      </c>
      <c r="E235" s="10" t="str">
        <f ca="1">IFERROR(__xludf.DUMMYFUNCTION("""COMPUTED_VALUE"""),"MATRIZ DOFA")</f>
        <v>MATRIZ DOFA</v>
      </c>
      <c r="F235" s="11">
        <f ca="1">IFERROR(__xludf.DUMMYFUNCTION("""COMPUTED_VALUE"""),44564)</f>
        <v>44564</v>
      </c>
      <c r="G235" s="11">
        <f ca="1">IFERROR(__xludf.DUMMYFUNCTION("""COMPUTED_VALUE"""),44925)</f>
        <v>44925</v>
      </c>
      <c r="H235" s="10" t="str">
        <f ca="1">IFERROR(__xludf.DUMMYFUNCTION("""COMPUTED_VALUE"""),"Profesional Especializado")</f>
        <v>Profesional Especializado</v>
      </c>
      <c r="I235" s="12">
        <f ca="1">IFERROR(__xludf.DUMMYFUNCTION("""COMPUTED_VALUE"""),0)</f>
        <v>0</v>
      </c>
      <c r="J235" s="10" t="str">
        <f ca="1">IFERROR(__xludf.DUMMYFUNCTION("""COMPUTED_VALUE"""),"El proceso de evaluación será al final de la vigencia")</f>
        <v>El proceso de evaluación será al final de la vigencia</v>
      </c>
      <c r="K235" s="11">
        <f ca="1">IFERROR(__xludf.DUMMYFUNCTION("""COMPUTED_VALUE"""),44651)</f>
        <v>44651</v>
      </c>
      <c r="L235" s="12">
        <f ca="1">IFERROR(__xludf.DUMMYFUNCTION("""COMPUTED_VALUE"""),0)</f>
        <v>0</v>
      </c>
      <c r="M235" s="10" t="str">
        <f ca="1">IFERROR(__xludf.DUMMYFUNCTION("""COMPUTED_VALUE"""),"El proceso de evaluación será al final de la vigencia")</f>
        <v>El proceso de evaluación será al final de la vigencia</v>
      </c>
      <c r="N235" s="11">
        <f ca="1">IFERROR(__xludf.DUMMYFUNCTION("""COMPUTED_VALUE"""),44742)</f>
        <v>44742</v>
      </c>
      <c r="O235" s="12">
        <f ca="1">IFERROR(__xludf.DUMMYFUNCTION("""COMPUTED_VALUE"""),0.33)</f>
        <v>0.33</v>
      </c>
      <c r="P235" s="10" t="str">
        <f ca="1">IFERROR(__xludf.DUMMYFUNCTION("""COMPUTED_VALUE"""),"Se entrega un informe final donde se registra  cada situación que genere una debilidad o una fortaleza del proceso.( Se realizó un formulario para presentar el 13 de Octubre en la sexta reunión del comité de rendición de cuentas y con base en los resultad"&amp;"os elaborar el informe) https://drive.google.com/drive/folders/1F9eYlipqWnAczStH9bGAnAabkWGTrBWM?usp=sharing")</f>
        <v>Se entrega un informe final donde se registra  cada situación que genere una debilidad o una fortaleza del proceso.( Se realizó un formulario para presentar el 13 de Octubre en la sexta reunión del comité de rendición de cuentas y con base en los resultados elaborar el informe) https://drive.google.com/drive/folders/1F9eYlipqWnAczStH9bGAnAabkWGTrBWM?usp=sharing</v>
      </c>
      <c r="Q235" s="11">
        <f ca="1">IFERROR(__xludf.DUMMYFUNCTION("""COMPUTED_VALUE"""),44834)</f>
        <v>44834</v>
      </c>
      <c r="R235" s="12">
        <f ca="1">IFERROR(__xludf.DUMMYFUNCTION("""COMPUTED_VALUE"""),1)</f>
        <v>1</v>
      </c>
      <c r="S235" s="10" t="str">
        <f ca="1">IFERROR(__xludf.DUMMYFUNCTION("""COMPUTED_VALUE"""),"Se analizarán los resultados de la matriz dofa de debilidades y fortalezas, a partir del diligencimiento del formulario google que fue dirigido al comité de rendición de cuentas. ")</f>
        <v xml:space="preserve">Se analizarán los resultados de la matriz dofa de debilidades y fortalezas, a partir del diligencimiento del formulario google que fue dirigido al comité de rendición de cuentas. </v>
      </c>
      <c r="T235" s="11"/>
      <c r="U235" s="10"/>
    </row>
    <row r="236" spans="1:21" ht="318.75" x14ac:dyDescent="0.2">
      <c r="A236" s="10" t="str">
        <f ca="1">IFERROR(__xludf.DUMMYFUNCTION("""COMPUTED_VALUE"""),"Gestión con valores para resultados")</f>
        <v>Gestión con valores para resultados</v>
      </c>
      <c r="B236" s="10" t="str">
        <f ca="1">IFERROR(__xludf.DUMMYFUNCTION("""COMPUTED_VALUE"""),"Participación Ciudadana en la Gestión Pública - Rendición de Cuentas")</f>
        <v>Participación Ciudadana en la Gestión Pública - Rendición de Cuentas</v>
      </c>
      <c r="C236" s="10" t="str">
        <f ca="1">IFERROR(__xludf.DUMMYFUNCTION("""COMPUTED_VALUE"""),"Identificar y documentar las debilidades y fortalezas de la entidad para promover la participación en la implementación de los ejercicios de rendición de cuentas con base en la evaluación de la oficina de planeación y/o Control Interno.")</f>
        <v>Identificar y documentar las debilidades y fortalezas de la entidad para promover la participación en la implementación de los ejercicios de rendición de cuentas con base en la evaluación de la oficina de planeación y/o Control Interno.</v>
      </c>
      <c r="D236" s="10" t="str">
        <f ca="1">IFERROR(__xludf.DUMMYFUNCTION("""COMPUTED_VALUE"""),"Informe")</f>
        <v>Informe</v>
      </c>
      <c r="E236" s="10" t="str">
        <f ca="1">IFERROR(__xludf.DUMMYFUNCTION("""COMPUTED_VALUE"""),"informe")</f>
        <v>informe</v>
      </c>
      <c r="F236" s="11">
        <f ca="1">IFERROR(__xludf.DUMMYFUNCTION("""COMPUTED_VALUE"""),44564)</f>
        <v>44564</v>
      </c>
      <c r="G236" s="11">
        <f ca="1">IFERROR(__xludf.DUMMYFUNCTION("""COMPUTED_VALUE"""),44925)</f>
        <v>44925</v>
      </c>
      <c r="H236" s="10" t="str">
        <f ca="1">IFERROR(__xludf.DUMMYFUNCTION("""COMPUTED_VALUE"""),"Profesional Especializado")</f>
        <v>Profesional Especializado</v>
      </c>
      <c r="I236" s="12">
        <f ca="1">IFERROR(__xludf.DUMMYFUNCTION("""COMPUTED_VALUE"""),0)</f>
        <v>0</v>
      </c>
      <c r="J236" s="10" t="str">
        <f ca="1">IFERROR(__xludf.DUMMYFUNCTION("""COMPUTED_VALUE"""),"El proceso de evaluación será al final de la vigencia")</f>
        <v>El proceso de evaluación será al final de la vigencia</v>
      </c>
      <c r="K236" s="11">
        <f ca="1">IFERROR(__xludf.DUMMYFUNCTION("""COMPUTED_VALUE"""),44651)</f>
        <v>44651</v>
      </c>
      <c r="L236" s="12">
        <f ca="1">IFERROR(__xludf.DUMMYFUNCTION("""COMPUTED_VALUE"""),0)</f>
        <v>0</v>
      </c>
      <c r="M236" s="10" t="str">
        <f ca="1">IFERROR(__xludf.DUMMYFUNCTION("""COMPUTED_VALUE"""),"El proceso de evaluación será al final de la vigencia")</f>
        <v>El proceso de evaluación será al final de la vigencia</v>
      </c>
      <c r="N236" s="11">
        <f ca="1">IFERROR(__xludf.DUMMYFUNCTION("""COMPUTED_VALUE"""),44742)</f>
        <v>44742</v>
      </c>
      <c r="O236" s="12">
        <f ca="1">IFERROR(__xludf.DUMMYFUNCTION("""COMPUTED_VALUE"""),0)</f>
        <v>0</v>
      </c>
      <c r="P236" s="10" t="str">
        <f ca="1">IFERROR(__xludf.DUMMYFUNCTION("""COMPUTED_VALUE"""),"El proceso de evaluación será al final de la vigencia (Despues de efectuada la rendición de cuentas) Una vez finalizada la audiencia de rendición de cuentas del 2 de noviembre , control interno enmarca unas recomendaciones con debilidades y fortalezas del"&amp;" proceso. Cuarto Seguimiento. 
")</f>
        <v xml:space="preserve">El proceso de evaluación será al final de la vigencia (Despues de efectuada la rendición de cuentas) Una vez finalizada la audiencia de rendición de cuentas del 2 de noviembre , control interno enmarca unas recomendaciones con debilidades y fortalezas del proceso. Cuarto Seguimiento. 
</v>
      </c>
      <c r="Q236" s="11">
        <f ca="1">IFERROR(__xludf.DUMMYFUNCTION("""COMPUTED_VALUE"""),44834)</f>
        <v>44834</v>
      </c>
      <c r="R236" s="12">
        <f ca="1">IFERROR(__xludf.DUMMYFUNCTION("""COMPUTED_VALUE"""),1)</f>
        <v>1</v>
      </c>
      <c r="S236" s="10" t="str">
        <f ca="1">IFERROR(__xludf.DUMMYFUNCTION("""COMPUTED_VALUE"""),"Se enmarcarán las recomendaciones de las debilidades y fortalezas del proceso de rendición de cuentas que impartirá la oficina asesora de control interno dentro de la socialización de su informe de evaluación.  ")</f>
        <v xml:space="preserve">Se enmarcarán las recomendaciones de las debilidades y fortalezas del proceso de rendición de cuentas que impartirá la oficina asesora de control interno dentro de la socialización de su informe de evaluación.  </v>
      </c>
      <c r="T236" s="11">
        <f ca="1">IFERROR(__xludf.DUMMYFUNCTION("""COMPUTED_VALUE"""),44901)</f>
        <v>44901</v>
      </c>
      <c r="U236" s="10"/>
    </row>
    <row r="237" spans="1:21" ht="153" x14ac:dyDescent="0.2">
      <c r="A237" s="10" t="str">
        <f ca="1">IFERROR(__xludf.DUMMYFUNCTION("""COMPUTED_VALUE"""),"Gestión con valores para resultados")</f>
        <v>Gestión con valores para resultados</v>
      </c>
      <c r="B237" s="10" t="str">
        <f ca="1">IFERROR(__xludf.DUMMYFUNCTION("""COMPUTED_VALUE"""),"Participación Ciudadana en la Gestión Pública - Rendición de Cuentas")</f>
        <v>Participación Ciudadana en la Gestión Pública - Rendición de Cuentas</v>
      </c>
      <c r="C237" s="10" t="str">
        <f ca="1">IFERROR(__xludf.DUMMYFUNCTION("""COMPUTED_VALUE"""),"Socializar al interior de la entidad, los resultados del diagnóstico del proceso de rendición de cuentas institucional.")</f>
        <v>Socializar al interior de la entidad, los resultados del diagnóstico del proceso de rendición de cuentas institucional.</v>
      </c>
      <c r="D237" s="10" t="str">
        <f ca="1">IFERROR(__xludf.DUMMYFUNCTION("""COMPUTED_VALUE"""),"4 Socializaciones")</f>
        <v>4 Socializaciones</v>
      </c>
      <c r="E237" s="10" t="str">
        <f ca="1">IFERROR(__xludf.DUMMYFUNCTION("""COMPUTED_VALUE"""),"Nº de socializaciones realizadas/ Nº de socializaciones propuestas")</f>
        <v>Nº de socializaciones realizadas/ Nº de socializaciones propuestas</v>
      </c>
      <c r="F237" s="11">
        <f ca="1">IFERROR(__xludf.DUMMYFUNCTION("""COMPUTED_VALUE"""),44564)</f>
        <v>44564</v>
      </c>
      <c r="G237" s="11">
        <f ca="1">IFERROR(__xludf.DUMMYFUNCTION("""COMPUTED_VALUE"""),44925)</f>
        <v>44925</v>
      </c>
      <c r="H237" s="10" t="str">
        <f ca="1">IFERROR(__xludf.DUMMYFUNCTION("""COMPUTED_VALUE"""),"Profesional Especializado")</f>
        <v>Profesional Especializado</v>
      </c>
      <c r="I237" s="12">
        <f ca="1">IFERROR(__xludf.DUMMYFUNCTION("""COMPUTED_VALUE"""),0.25)</f>
        <v>0.25</v>
      </c>
      <c r="J237" s="10" t="str">
        <f ca="1">IFERROR(__xludf.DUMMYFUNCTION("""COMPUTED_VALUE"""),"Se socializa el autodiagnostico con equipo base de la Secretaría Privada pero tambien se hará con el comité en la primera y funcionarios de la Alcaldia")</f>
        <v>Se socializa el autodiagnostico con equipo base de la Secretaría Privada pero tambien se hará con el comité en la primera y funcionarios de la Alcaldia</v>
      </c>
      <c r="K237" s="11">
        <f ca="1">IFERROR(__xludf.DUMMYFUNCTION("""COMPUTED_VALUE"""),44651)</f>
        <v>44651</v>
      </c>
      <c r="L237" s="12">
        <f ca="1">IFERROR(__xludf.DUMMYFUNCTION("""COMPUTED_VALUE"""),0)</f>
        <v>0</v>
      </c>
      <c r="M237" s="10" t="str">
        <f ca="1">IFERROR(__xludf.DUMMYFUNCTION("""COMPUTED_VALUE"""),"Se realiza una vez realiza la audiencia de rendicion de cuentas un infore")</f>
        <v>Se realiza una vez realiza la audiencia de rendicion de cuentas un infore</v>
      </c>
      <c r="N237" s="11">
        <f ca="1">IFERROR(__xludf.DUMMYFUNCTION("""COMPUTED_VALUE"""),44742)</f>
        <v>44742</v>
      </c>
      <c r="O237" s="12">
        <f ca="1">IFERROR(__xludf.DUMMYFUNCTION("""COMPUTED_VALUE"""),0)</f>
        <v>0</v>
      </c>
      <c r="P237" s="10" t="str">
        <f ca="1">IFERROR(__xludf.DUMMYFUNCTION("""COMPUTED_VALUE"""),"Se realiza después de la audiencia de rendición de cuentas. Cuarto Seguimiento.
")</f>
        <v xml:space="preserve">Se realiza después de la audiencia de rendición de cuentas. Cuarto Seguimiento.
</v>
      </c>
      <c r="Q237" s="11">
        <f ca="1">IFERROR(__xludf.DUMMYFUNCTION("""COMPUTED_VALUE"""),44834)</f>
        <v>44834</v>
      </c>
      <c r="R237" s="12">
        <f ca="1">IFERROR(__xludf.DUMMYFUNCTION("""COMPUTED_VALUE"""),1)</f>
        <v>1</v>
      </c>
      <c r="S237" s="10" t="str">
        <f ca="1">IFERROR(__xludf.DUMMYFUNCTION("""COMPUTED_VALUE"""),"Se enviará circular con los resultados correspondientes de la matriz dofa en donde se establezca el diagnostico del proceso de rendición de cuentas. ")</f>
        <v xml:space="preserve">Se enviará circular con los resultados correspondientes de la matriz dofa en donde se establezca el diagnostico del proceso de rendición de cuentas. </v>
      </c>
      <c r="T237" s="11">
        <f ca="1">IFERROR(__xludf.DUMMYFUNCTION("""COMPUTED_VALUE"""),44901)</f>
        <v>44901</v>
      </c>
      <c r="U237" s="10"/>
    </row>
    <row r="238" spans="1:21" ht="280.5" x14ac:dyDescent="0.2">
      <c r="A238" s="10" t="str">
        <f ca="1">IFERROR(__xludf.DUMMYFUNCTION("""COMPUTED_VALUE"""),"Gestión con valores para resultados")</f>
        <v>Gestión con valores para resultados</v>
      </c>
      <c r="B238" s="10" t="str">
        <f ca="1">IFERROR(__xludf.DUMMYFUNCTION("""COMPUTED_VALUE"""),"Participación Ciudadana en la Gestión Pública - Rendición de Cuentas")</f>
        <v>Participación Ciudadana en la Gestión Pública - Rendición de Cuentas</v>
      </c>
      <c r="C238" s="10" t="str">
        <f ca="1">IFERROR(__xludf.DUMMYFUNCTION("""COMPUTED_VALUE"""),"Establecer temas e informes, mecanismos de interlocución y retroalimentación con los organismos de control para articular su intervención en el proceso de rendición de cuentas.")</f>
        <v>Establecer temas e informes, mecanismos de interlocución y retroalimentación con los organismos de control para articular su intervención en el proceso de rendición de cuentas.</v>
      </c>
      <c r="D238" s="10" t="str">
        <f ca="1">IFERROR(__xludf.DUMMYFUNCTION("""COMPUTED_VALUE"""),"Informe")</f>
        <v>Informe</v>
      </c>
      <c r="E238" s="10" t="str">
        <f ca="1">IFERROR(__xludf.DUMMYFUNCTION("""COMPUTED_VALUE"""),"Informe")</f>
        <v>Informe</v>
      </c>
      <c r="F238" s="11">
        <f ca="1">IFERROR(__xludf.DUMMYFUNCTION("""COMPUTED_VALUE"""),44564)</f>
        <v>44564</v>
      </c>
      <c r="G238" s="11">
        <f ca="1">IFERROR(__xludf.DUMMYFUNCTION("""COMPUTED_VALUE"""),44925)</f>
        <v>44925</v>
      </c>
      <c r="H238" s="10" t="str">
        <f ca="1">IFERROR(__xludf.DUMMYFUNCTION("""COMPUTED_VALUE"""),"Profesional Especializado")</f>
        <v>Profesional Especializado</v>
      </c>
      <c r="I238" s="12">
        <f ca="1">IFERROR(__xludf.DUMMYFUNCTION("""COMPUTED_VALUE"""),0)</f>
        <v>0</v>
      </c>
      <c r="J238" s="10" t="str">
        <f ca="1">IFERROR(__xludf.DUMMYFUNCTION("""COMPUTED_VALUE"""),"Responsabilidad rque se realizará por el comité de Rendición de Cuentas.")</f>
        <v>Responsabilidad rque se realizará por el comité de Rendición de Cuentas.</v>
      </c>
      <c r="K238" s="11">
        <f ca="1">IFERROR(__xludf.DUMMYFUNCTION("""COMPUTED_VALUE"""),44651)</f>
        <v>44651</v>
      </c>
      <c r="L238" s="12">
        <f ca="1">IFERROR(__xludf.DUMMYFUNCTION("""COMPUTED_VALUE"""),0)</f>
        <v>0</v>
      </c>
      <c r="M238" s="10" t="str">
        <f ca="1">IFERROR(__xludf.DUMMYFUNCTION("""COMPUTED_VALUE"""),"Responsabilidad rque se realizará por el comité de Rendición de Cuentas.")</f>
        <v>Responsabilidad rque se realizará por el comité de Rendición de Cuentas.</v>
      </c>
      <c r="N238" s="11">
        <f ca="1">IFERROR(__xludf.DUMMYFUNCTION("""COMPUTED_VALUE"""),44742)</f>
        <v>44742</v>
      </c>
      <c r="O238" s="12">
        <f ca="1">IFERROR(__xludf.DUMMYFUNCTION("""COMPUTED_VALUE"""),0)</f>
        <v>0</v>
      </c>
      <c r="P238" s="10" t="str">
        <f ca="1">IFERROR(__xludf.DUMMYFUNCTION("""COMPUTED_VALUE"""),"Se  invitara a la contraloria Municipal a la audiencia de rendición de cuentas y asimismo que participen en la socialización de control interno, para que efectuen recomendaciones para las proximas estrategias de rendición de cuentas. Cuarto Seguimiento.")</f>
        <v>Se  invitara a la contraloria Municipal a la audiencia de rendición de cuentas y asimismo que participen en la socialización de control interno, para que efectuen recomendaciones para las proximas estrategias de rendición de cuentas. Cuarto Seguimiento.</v>
      </c>
      <c r="Q238" s="11">
        <f ca="1">IFERROR(__xludf.DUMMYFUNCTION("""COMPUTED_VALUE"""),44834)</f>
        <v>44834</v>
      </c>
      <c r="R238" s="12">
        <f ca="1">IFERROR(__xludf.DUMMYFUNCTION("""COMPUTED_VALUE"""),1)</f>
        <v>1</v>
      </c>
      <c r="S238" s="10" t="str">
        <f ca="1">IFERROR(__xludf.DUMMYFUNCTION("""COMPUTED_VALUE"""),"Se invitó a la contraloría municipal a la audiencia de rendición de cuentas y asimismo se contará con la participación de control interno en la socialización de su informe de evaluación con las recomendaciones para las proximas estrategias de rendición de"&amp;" cuentas.")</f>
        <v>Se invitó a la contraloría municipal a la audiencia de rendición de cuentas y asimismo se contará con la participación de control interno en la socialización de su informe de evaluación con las recomendaciones para las proximas estrategias de rendición de cuentas.</v>
      </c>
      <c r="T238" s="11">
        <f ca="1">IFERROR(__xludf.DUMMYFUNCTION("""COMPUTED_VALUE"""),44901)</f>
        <v>44901</v>
      </c>
      <c r="U238" s="10"/>
    </row>
    <row r="239" spans="1:21" ht="229.5" x14ac:dyDescent="0.2">
      <c r="A239" s="10" t="str">
        <f ca="1">IFERROR(__xludf.DUMMYFUNCTION("""COMPUTED_VALUE"""),"Gestión con valores para resultados")</f>
        <v>Gestión con valores para resultados</v>
      </c>
      <c r="B239" s="10" t="str">
        <f ca="1">IFERROR(__xludf.DUMMYFUNCTION("""COMPUTED_VALUE"""),"Participación Ciudadana en la Gestión Pública - Rendición de Cuentas")</f>
        <v>Participación Ciudadana en la Gestión Pública - Rendición de Cuentas</v>
      </c>
      <c r="C239" s="10" t="str">
        <f ca="1">IFERROR(__xludf.DUMMYFUNCTION("""COMPUTED_VALUE"""),"Verificar si todos los grupos de valor están contemplados en al menos una de las actividades e instancias ya identificadas. En caso de que no estén contemplados todos los grupos de valor, determine otras actividades en las cuales pueda involucrarlos.")</f>
        <v>Verificar si todos los grupos de valor están contemplados en al menos una de las actividades e instancias ya identificadas. En caso de que no estén contemplados todos los grupos de valor, determine otras actividades en las cuales pueda involucrarlos.</v>
      </c>
      <c r="D239" s="10" t="str">
        <f ca="1">IFERROR(__xludf.DUMMYFUNCTION("""COMPUTED_VALUE"""),"Informe")</f>
        <v>Informe</v>
      </c>
      <c r="E239" s="10" t="str">
        <f ca="1">IFERROR(__xludf.DUMMYFUNCTION("""COMPUTED_VALUE"""),"INFORME")</f>
        <v>INFORME</v>
      </c>
      <c r="F239" s="11">
        <f ca="1">IFERROR(__xludf.DUMMYFUNCTION("""COMPUTED_VALUE"""),44564)</f>
        <v>44564</v>
      </c>
      <c r="G239" s="11">
        <f ca="1">IFERROR(__xludf.DUMMYFUNCTION("""COMPUTED_VALUE"""),44925)</f>
        <v>44925</v>
      </c>
      <c r="H239" s="10" t="str">
        <f ca="1">IFERROR(__xludf.DUMMYFUNCTION("""COMPUTED_VALUE"""),"Profesional Especializado")</f>
        <v>Profesional Especializado</v>
      </c>
      <c r="I239" s="12">
        <f ca="1">IFERROR(__xludf.DUMMYFUNCTION("""COMPUTED_VALUE"""),0.5)</f>
        <v>0.5</v>
      </c>
      <c r="J239" s="10" t="str">
        <f ca="1">IFERROR(__xludf.DUMMYFUNCTION("""COMPUTED_VALUE"""),"Se está realizando en esta primera etapa la implementación de un instrumento que permita actualizar y definir los grupos de valor y actores estrategicos por medio de la caracterización de públicos, será parte de la planeación de la estrategia 2022 una vez"&amp;" tengamos la información de la actividad anterior")</f>
        <v>Se está realizando en esta primera etapa la implementación de un instrumento que permita actualizar y definir los grupos de valor y actores estrategicos por medio de la caracterización de públicos, será parte de la planeación de la estrategia 2022 una vez tengamos la información de la actividad anterior</v>
      </c>
      <c r="K239" s="11">
        <f ca="1">IFERROR(__xludf.DUMMYFUNCTION("""COMPUTED_VALUE"""),44651)</f>
        <v>44651</v>
      </c>
      <c r="L239" s="12">
        <f ca="1">IFERROR(__xludf.DUMMYFUNCTION("""COMPUTED_VALUE"""),0.5)</f>
        <v>0.5</v>
      </c>
      <c r="M239" s="10" t="str">
        <f ca="1">IFERROR(__xludf.DUMMYFUNCTION("""COMPUTED_VALUE"""),"Se está realizando en esta primera etapa la implementación de un instrumento que permita actualizar y definir los grupos de valor y actores estrategicos por medio de la caracterización de públicos, será parte de la planeación de la estrategia 2022 una vez"&amp;" tengamos la información de la actividad anterior https://drive.google.com/file/d/1TbU1SNG-3fGDYrEQz7zlIkpV8Glm6nFn")</f>
        <v>Se está realizando en esta primera etapa la implementación de un instrumento que permita actualizar y definir los grupos de valor y actores estrategicos por medio de la caracterización de públicos, será parte de la planeación de la estrategia 2022 una vez tengamos la información de la actividad anterior https://drive.google.com/file/d/1TbU1SNG-3fGDYrEQz7zlIkpV8Glm6nFn</v>
      </c>
      <c r="N239" s="11">
        <f ca="1">IFERROR(__xludf.DUMMYFUNCTION("""COMPUTED_VALUE"""),44742)</f>
        <v>44742</v>
      </c>
      <c r="O239" s="12">
        <f ca="1">IFERROR(__xludf.DUMMYFUNCTION("""COMPUTED_VALUE"""),1)</f>
        <v>1</v>
      </c>
      <c r="P239" s="10" t="str">
        <f ca="1">IFERROR(__xludf.DUMMYFUNCTION("""COMPUTED_VALUE"""),"Se tienen los resultados de los grupos de valor dentro de la caracterización de públicos, se pueden evidenciar en el siguiente link: https://drive.google.com/drive/folders/17OpStk7djsaHjyZrhw_Kx3oSbPX5CTRp?usp=sharing")</f>
        <v>Se tienen los resultados de los grupos de valor dentro de la caracterización de públicos, se pueden evidenciar en el siguiente link: https://drive.google.com/drive/folders/17OpStk7djsaHjyZrhw_Kx3oSbPX5CTRp?usp=sharing</v>
      </c>
      <c r="Q239" s="11">
        <f ca="1">IFERROR(__xludf.DUMMYFUNCTION("""COMPUTED_VALUE"""),44834)</f>
        <v>44834</v>
      </c>
      <c r="R239" s="12">
        <f ca="1">IFERROR(__xludf.DUMMYFUNCTION("""COMPUTED_VALUE"""),1)</f>
        <v>1</v>
      </c>
      <c r="S239" s="10" t="str">
        <f ca="1">IFERROR(__xludf.DUMMYFUNCTION("""COMPUTED_VALUE"""),"Se tienen los resultados de los grupos de valor dentro de la caracterización de públicos, se pueden evidenciar en el siguiente link: https://drive.google.com/drive/folders/17OpStk7djsaHjyZrhw_Kx3oSbPX5CTRp?usp=sharing")</f>
        <v>Se tienen los resultados de los grupos de valor dentro de la caracterización de públicos, se pueden evidenciar en el siguiente link: https://drive.google.com/drive/folders/17OpStk7djsaHjyZrhw_Kx3oSbPX5CTRp?usp=sharing</v>
      </c>
      <c r="T239" s="11">
        <f ca="1">IFERROR(__xludf.DUMMYFUNCTION("""COMPUTED_VALUE"""),44901)</f>
        <v>44901</v>
      </c>
      <c r="U239" s="10"/>
    </row>
    <row r="240" spans="1:21" ht="267.75" x14ac:dyDescent="0.2">
      <c r="A240" s="10" t="str">
        <f ca="1">IFERROR(__xludf.DUMMYFUNCTION("""COMPUTED_VALUE"""),"Gestión con valores para resultados")</f>
        <v>Gestión con valores para resultados</v>
      </c>
      <c r="B240" s="10" t="str">
        <f ca="1">IFERROR(__xludf.DUMMYFUNCTION("""COMPUTED_VALUE"""),"Participación Ciudadana en la Gestión Pública - Rendición de Cuentas")</f>
        <v>Participación Ciudadana en la Gestión Pública - Rendición de Cuentas</v>
      </c>
      <c r="C240" s="10" t="str">
        <f ca="1">IFERROR(__xludf.DUMMYFUNCTION("""COMPUTED_VALUE"""),"Validar con los grupos de interés la estrategia de rendición de cuentas.")</f>
        <v>Validar con los grupos de interés la estrategia de rendición de cuentas.</v>
      </c>
      <c r="D240" s="10" t="str">
        <f ca="1">IFERROR(__xludf.DUMMYFUNCTION("""COMPUTED_VALUE"""),"Elaboración, aprobación y Publicación de la estrategia 2022 aprobada")</f>
        <v>Elaboración, aprobación y Publicación de la estrategia 2022 aprobada</v>
      </c>
      <c r="E240" s="10" t="str">
        <f ca="1">IFERROR(__xludf.DUMMYFUNCTION("""COMPUTED_VALUE"""),"link de publicación")</f>
        <v>link de publicación</v>
      </c>
      <c r="F240" s="11">
        <f ca="1">IFERROR(__xludf.DUMMYFUNCTION("""COMPUTED_VALUE"""),44564)</f>
        <v>44564</v>
      </c>
      <c r="G240" s="11">
        <f ca="1">IFERROR(__xludf.DUMMYFUNCTION("""COMPUTED_VALUE"""),44925)</f>
        <v>44925</v>
      </c>
      <c r="H240" s="10" t="str">
        <f ca="1">IFERROR(__xludf.DUMMYFUNCTION("""COMPUTED_VALUE"""),"Profesional Especializado")</f>
        <v>Profesional Especializado</v>
      </c>
      <c r="I240" s="12">
        <f ca="1">IFERROR(__xludf.DUMMYFUNCTION("""COMPUTED_VALUE"""),0.33)</f>
        <v>0.33</v>
      </c>
      <c r="J240" s="10" t="str">
        <f ca="1">IFERROR(__xludf.DUMMYFUNCTION("""COMPUTED_VALUE"""),"Reuniones con grupos de interes, despues de aprobación de la estrategia 2022")</f>
        <v>Reuniones con grupos de interes, despues de aprobación de la estrategia 2022</v>
      </c>
      <c r="K240" s="11">
        <f ca="1">IFERROR(__xludf.DUMMYFUNCTION("""COMPUTED_VALUE"""),44651)</f>
        <v>44651</v>
      </c>
      <c r="L240" s="12">
        <f ca="1">IFERROR(__xludf.DUMMYFUNCTION("""COMPUTED_VALUE"""),0.33)</f>
        <v>0.33</v>
      </c>
      <c r="M240" s="10" t="str">
        <f ca="1">IFERROR(__xludf.DUMMYFUNCTION("""COMPUTED_VALUE"""),"Reuniones con grupos de interes, despues de aprobación de la estrategia 2022, al momento de este reporte trimestral, se está socializando la estrategia en los encuentros con los presidentes de junta de las comunas y corregimientos del municipio de Pereira"&amp;" https://drive.google.com/file/d/1MYlaWM9WNmFlnnriBFfSazFMQir9VwZ4/view?usp=drivesdk")</f>
        <v>Reuniones con grupos de interes, despues de aprobación de la estrategia 2022, al momento de este reporte trimestral, se está socializando la estrategia en los encuentros con los presidentes de junta de las comunas y corregimientos del municipio de Pereira https://drive.google.com/file/d/1MYlaWM9WNmFlnnriBFfSazFMQir9VwZ4/view?usp=drivesdk</v>
      </c>
      <c r="N240" s="11">
        <f ca="1">IFERROR(__xludf.DUMMYFUNCTION("""COMPUTED_VALUE"""),44742)</f>
        <v>44742</v>
      </c>
      <c r="O240" s="12">
        <f ca="1">IFERROR(__xludf.DUMMYFUNCTION("""COMPUTED_VALUE"""),1)</f>
        <v>1</v>
      </c>
      <c r="P240" s="10" t="str">
        <f ca="1">IFERROR(__xludf.DUMMYFUNCTION("""COMPUTED_VALUE"""),"La estrategia de rendición de cuentas fue elaborada y aprobada en acta número 1 del Comité de Rendición de Cuentas, la cual se puede evidenciar en el siguiente link: https://drive.google.com/drive/folders/1N1A0XCJj6f4WPWFeT5kAWLeoIbi08H3B?usp=sharing")</f>
        <v>La estrategia de rendición de cuentas fue elaborada y aprobada en acta número 1 del Comité de Rendición de Cuentas, la cual se puede evidenciar en el siguiente link: https://drive.google.com/drive/folders/1N1A0XCJj6f4WPWFeT5kAWLeoIbi08H3B?usp=sharing</v>
      </c>
      <c r="Q240" s="11">
        <f ca="1">IFERROR(__xludf.DUMMYFUNCTION("""COMPUTED_VALUE"""),44834)</f>
        <v>44834</v>
      </c>
      <c r="R240" s="12">
        <f ca="1">IFERROR(__xludf.DUMMYFUNCTION("""COMPUTED_VALUE"""),1)</f>
        <v>1</v>
      </c>
      <c r="S240" s="10" t="str">
        <f ca="1">IFERROR(__xludf.DUMMYFUNCTION("""COMPUTED_VALUE"""),"La estrategia de rendición de cuentas fue elaborada y aprobada en acta número 1 del Comité de Rendición de Cuentas, la cual se puede evidenciar en el siguiente link: https://drive.google.com/drive/folders/1N1A0XCJj6f4WPWFeT5kAWLeoIbi08H3B?usp=sharing")</f>
        <v>La estrategia de rendición de cuentas fue elaborada y aprobada en acta número 1 del Comité de Rendición de Cuentas, la cual se puede evidenciar en el siguiente link: https://drive.google.com/drive/folders/1N1A0XCJj6f4WPWFeT5kAWLeoIbi08H3B?usp=sharing</v>
      </c>
      <c r="T240" s="11">
        <f ca="1">IFERROR(__xludf.DUMMYFUNCTION("""COMPUTED_VALUE"""),44901)</f>
        <v>44901</v>
      </c>
      <c r="U240" s="10"/>
    </row>
    <row r="241" spans="1:21" ht="409.5" x14ac:dyDescent="0.2">
      <c r="A241" s="10" t="str">
        <f ca="1">IFERROR(__xludf.DUMMYFUNCTION("""COMPUTED_VALUE"""),"Gestión con valores para resultados")</f>
        <v>Gestión con valores para resultados</v>
      </c>
      <c r="B241" s="10" t="str">
        <f ca="1">IFERROR(__xludf.DUMMYFUNCTION("""COMPUTED_VALUE"""),"Participación Ciudadana en la Gestión Pública - Rendición de Cuentas")</f>
        <v>Participación Ciudadana en la Gestión Pública - Rendición de Cuentas</v>
      </c>
      <c r="C241" s="10" t="str">
        <f ca="1">IFERROR(__xludf.DUMMYFUNCTION("""COMPUTED_VALUE"""),"Elaborar con la colaboración de los grupos de interés la estrategia de rendición de cuentas.")</f>
        <v>Elaborar con la colaboración de los grupos de interés la estrategia de rendición de cuentas.</v>
      </c>
      <c r="D241" s="10" t="str">
        <f ca="1">IFERROR(__xludf.DUMMYFUNCTION("""COMPUTED_VALUE"""),"Encuesta grupos de valor")</f>
        <v>Encuesta grupos de valor</v>
      </c>
      <c r="E241" s="10" t="str">
        <f ca="1">IFERROR(__xludf.DUMMYFUNCTION("""COMPUTED_VALUE"""),"Encuesta grupos de valor")</f>
        <v>Encuesta grupos de valor</v>
      </c>
      <c r="F241" s="11">
        <f ca="1">IFERROR(__xludf.DUMMYFUNCTION("""COMPUTED_VALUE"""),44564)</f>
        <v>44564</v>
      </c>
      <c r="G241" s="11">
        <f ca="1">IFERROR(__xludf.DUMMYFUNCTION("""COMPUTED_VALUE"""),44925)</f>
        <v>44925</v>
      </c>
      <c r="H241" s="10" t="str">
        <f ca="1">IFERROR(__xludf.DUMMYFUNCTION("""COMPUTED_VALUE"""),"Profesional Especializado")</f>
        <v>Profesional Especializado</v>
      </c>
      <c r="I241" s="12">
        <f ca="1">IFERROR(__xludf.DUMMYFUNCTION("""COMPUTED_VALUE"""),0)</f>
        <v>0</v>
      </c>
      <c r="J241" s="10" t="str">
        <f ca="1">IFERROR(__xludf.DUMMYFUNCTION("""COMPUTED_VALUE"""),"Reuniones con grupos de interes, despues de aprobación de la estrategia 2022")</f>
        <v>Reuniones con grupos de interes, despues de aprobación de la estrategia 2022</v>
      </c>
      <c r="K241" s="11">
        <f ca="1">IFERROR(__xludf.DUMMYFUNCTION("""COMPUTED_VALUE"""),44651)</f>
        <v>44651</v>
      </c>
      <c r="L241" s="12"/>
      <c r="M241" s="10" t="str">
        <f ca="1">IFERROR(__xludf.DUMMYFUNCTION("""COMPUTED_VALUE"""),"Reuniones con grupos de interes, despues de aprobación de la estrategia 2022, al momento de este reporte trimestral, se está aplicando una encuesta en Google forms en los encuentros con los presidentes de junta de las comunas y corregimientos del municipi"&amp;"o de Pereira https://drive.google.com/file/d/1UWOsCrP18A0_8MZLMaks8hc7WsTug1L2/view?usp=drivesdk")</f>
        <v>Reuniones con grupos de interes, despues de aprobación de la estrategia 2022, al momento de este reporte trimestral, se está aplicando una encuesta en Google forms en los encuentros con los presidentes de junta de las comunas y corregimientos del municipio de Pereira https://drive.google.com/file/d/1UWOsCrP18A0_8MZLMaks8hc7WsTug1L2/view?usp=drivesdk</v>
      </c>
      <c r="N241" s="11">
        <f ca="1">IFERROR(__xludf.DUMMYFUNCTION("""COMPUTED_VALUE"""),44742)</f>
        <v>44742</v>
      </c>
      <c r="O241" s="12">
        <f ca="1">IFERROR(__xludf.DUMMYFUNCTION("""COMPUTED_VALUE"""),1)</f>
        <v>1</v>
      </c>
      <c r="P241" s="10" t="str">
        <f ca="1">IFERROR(__xludf.DUMMYFUNCTION("""COMPUTED_VALUE"""),"Reuniones con grupos de interes, despues de aprobación de la estrategia 2022, al momento de este reporte trimestral, se aplicó una encuesta en Google forms en los encuentros con los presidentes de junta de las comunas y corregimientos del municipio de Per"&amp;"eira https://drive.google.com/drive/folders/1K1gGtcas7xqDVHAbCXpnMOPcnfcmB8_m?usp=sharing y la encuesta en el siguiente link: https://drive.google.com/drive/folders/1K1gGtcas7xqDVHAbCXpnMOPcnfcmB8_m?usp=sharing")</f>
        <v>Reuniones con grupos de interes, despues de aprobación de la estrategia 2022, al momento de este reporte trimestral, se aplicó una encuesta en Google forms en los encuentros con los presidentes de junta de las comunas y corregimientos del municipio de Pereira https://drive.google.com/drive/folders/1K1gGtcas7xqDVHAbCXpnMOPcnfcmB8_m?usp=sharing y la encuesta en el siguiente link: https://drive.google.com/drive/folders/1K1gGtcas7xqDVHAbCXpnMOPcnfcmB8_m?usp=sharing</v>
      </c>
      <c r="Q241" s="11">
        <f ca="1">IFERROR(__xludf.DUMMYFUNCTION("""COMPUTED_VALUE"""),44834)</f>
        <v>44834</v>
      </c>
      <c r="R241" s="12">
        <f ca="1">IFERROR(__xludf.DUMMYFUNCTION("""COMPUTED_VALUE"""),1)</f>
        <v>1</v>
      </c>
      <c r="S241" s="10" t="str">
        <f ca="1">IFERROR(__xludf.DUMMYFUNCTION("""COMPUTED_VALUE"""),"Reuniones con grupos de interes, despues de aprobación de la estrategia 2022, al momento de este reporte trimestral, se aplicó una encuesta en Google forms en los encuentros con los presidentes de junta de las comunas y corregimientos del municipio de Per"&amp;"eira https://drive.google.com/drive/folders/1K1gGtcas7xqDVHAbCXpnMOPcnfcmB8_m?usp=sharing y la encuesta en el siguiente link: https://drive.google.com/drive/folders/1K1gGtcas7xqDVHAbCXpnMOPcnfcmB8_m?usp=sharing")</f>
        <v>Reuniones con grupos de interes, despues de aprobación de la estrategia 2022, al momento de este reporte trimestral, se aplicó una encuesta en Google forms en los encuentros con los presidentes de junta de las comunas y corregimientos del municipio de Pereira https://drive.google.com/drive/folders/1K1gGtcas7xqDVHAbCXpnMOPcnfcmB8_m?usp=sharing y la encuesta en el siguiente link: https://drive.google.com/drive/folders/1K1gGtcas7xqDVHAbCXpnMOPcnfcmB8_m?usp=sharing</v>
      </c>
      <c r="T241" s="11">
        <f ca="1">IFERROR(__xludf.DUMMYFUNCTION("""COMPUTED_VALUE"""),44901)</f>
        <v>44901</v>
      </c>
      <c r="U241" s="10"/>
    </row>
    <row r="242" spans="1:21" ht="409.5" x14ac:dyDescent="0.2">
      <c r="A242" s="10" t="str">
        <f ca="1">IFERROR(__xludf.DUMMYFUNCTION("""COMPUTED_VALUE"""),"Gestión con valores para resultados")</f>
        <v>Gestión con valores para resultados</v>
      </c>
      <c r="B242" s="10" t="str">
        <f ca="1">IFERROR(__xludf.DUMMYFUNCTION("""COMPUTED_VALUE"""),"Participación Ciudadana en la Gestión Pública - Rendición de Cuentas")</f>
        <v>Participación Ciudadana en la Gestión Pública - Rendición de Cuentas</v>
      </c>
      <c r="C242" s="10" t="str">
        <f ca="1">IFERROR(__xludf.DUMMYFUNCTION("""COMPUTED_VALUE"""),"Socializar con los ciudadanos y grupos de interés identificados la estrategia de rendición de cuentas")</f>
        <v>Socializar con los ciudadanos y grupos de interés identificados la estrategia de rendición de cuentas</v>
      </c>
      <c r="D242" s="10" t="str">
        <f ca="1">IFERROR(__xludf.DUMMYFUNCTION("""COMPUTED_VALUE"""),"2 Socializaciones")</f>
        <v>2 Socializaciones</v>
      </c>
      <c r="E242" s="10" t="str">
        <f ca="1">IFERROR(__xludf.DUMMYFUNCTION("""COMPUTED_VALUE"""),"Nº de socializaciones realizadas/ Nº de socializaciones propuestas")</f>
        <v>Nº de socializaciones realizadas/ Nº de socializaciones propuestas</v>
      </c>
      <c r="F242" s="11">
        <f ca="1">IFERROR(__xludf.DUMMYFUNCTION("""COMPUTED_VALUE"""),44564)</f>
        <v>44564</v>
      </c>
      <c r="G242" s="11">
        <f ca="1">IFERROR(__xludf.DUMMYFUNCTION("""COMPUTED_VALUE"""),44925)</f>
        <v>44925</v>
      </c>
      <c r="H242" s="10" t="str">
        <f ca="1">IFERROR(__xludf.DUMMYFUNCTION("""COMPUTED_VALUE"""),"Profesional Especializado")</f>
        <v>Profesional Especializado</v>
      </c>
      <c r="I242" s="12">
        <f ca="1">IFERROR(__xludf.DUMMYFUNCTION("""COMPUTED_VALUE"""),0.3)</f>
        <v>0.3</v>
      </c>
      <c r="J242" s="10" t="str">
        <f ca="1">IFERROR(__xludf.DUMMYFUNCTION("""COMPUTED_VALUE"""),"Se está realizando la caracterización con ayuda de los profesionales enlaces para cumplir con estas actvidades")</f>
        <v>Se está realizando la caracterización con ayuda de los profesionales enlaces para cumplir con estas actvidades</v>
      </c>
      <c r="K242" s="11">
        <f ca="1">IFERROR(__xludf.DUMMYFUNCTION("""COMPUTED_VALUE"""),44651)</f>
        <v>44651</v>
      </c>
      <c r="L242" s="12">
        <f ca="1">IFERROR(__xludf.DUMMYFUNCTION("""COMPUTED_VALUE"""),0.3)</f>
        <v>0.3</v>
      </c>
      <c r="M242" s="10" t="str">
        <f ca="1">IFERROR(__xludf.DUMMYFUNCTION("""COMPUTED_VALUE"""),"Reuniones con grupos de interes, despues de aprobación de la estrategia 2022, al momento de este reporte trimestral, se está socializando la estrategia en los encuentros con los presidentes de junta de las comunas y corregimientos del municipio de Pereira"&amp;" https://drive.google.com/file/d/1Gd4QqLPWBNH6VQK_CgYNi9GxdowFuddr/view?usp=drivesdk")</f>
        <v>Reuniones con grupos de interes, despues de aprobación de la estrategia 2022, al momento de este reporte trimestral, se está socializando la estrategia en los encuentros con los presidentes de junta de las comunas y corregimientos del municipio de Pereira https://drive.google.com/file/d/1Gd4QqLPWBNH6VQK_CgYNi9GxdowFuddr/view?usp=drivesdk</v>
      </c>
      <c r="N242" s="11">
        <f ca="1">IFERROR(__xludf.DUMMYFUNCTION("""COMPUTED_VALUE"""),44742)</f>
        <v>44742</v>
      </c>
      <c r="O242" s="12">
        <f ca="1">IFERROR(__xludf.DUMMYFUNCTION("""COMPUTED_VALUE"""),1)</f>
        <v>1</v>
      </c>
      <c r="P242" s="10" t="str">
        <f ca="1">IFERROR(__xludf.DUMMYFUNCTION("""COMPUTED_VALUE"""),"Reuniones con grupos de interes, despues de aprobación de la estrategia 2022, al momento de este reporte trimestral, se aplicó una encuesta en Google forms en los encuentros con los presidentes de junta de las comunas y corregimientos del municipio de Per"&amp;"eira https://drive.google.com/drive/folders/1K1gGtcas7xqDVHAbCXpnMOPcnfcmB8_m?usp=sharing y la encuesta en el siguiente link: https://drive.google.com/drive/folders/1K1gGtcas7xqDVHAbCXpnMOPcnfcmB8_m?usp=sharing")</f>
        <v>Reuniones con grupos de interes, despues de aprobación de la estrategia 2022, al momento de este reporte trimestral, se aplicó una encuesta en Google forms en los encuentros con los presidentes de junta de las comunas y corregimientos del municipio de Pereira https://drive.google.com/drive/folders/1K1gGtcas7xqDVHAbCXpnMOPcnfcmB8_m?usp=sharing y la encuesta en el siguiente link: https://drive.google.com/drive/folders/1K1gGtcas7xqDVHAbCXpnMOPcnfcmB8_m?usp=sharing</v>
      </c>
      <c r="Q242" s="11">
        <f ca="1">IFERROR(__xludf.DUMMYFUNCTION("""COMPUTED_VALUE"""),44834)</f>
        <v>44834</v>
      </c>
      <c r="R242" s="12">
        <f ca="1">IFERROR(__xludf.DUMMYFUNCTION("""COMPUTED_VALUE"""),1)</f>
        <v>1</v>
      </c>
      <c r="S242" s="10" t="str">
        <f ca="1">IFERROR(__xludf.DUMMYFUNCTION("""COMPUTED_VALUE"""),"Reuniones con grupos de interes, despues de aprobación de la estrategia 2022, al momento de este reporte trimestral, se aplicó una encuesta en Google forms en los encuentros con los presidentes de junta de las comunas y corregimientos del municipio de Per"&amp;"eira https://drive.google.com/drive/folders/1K1gGtcas7xqDVHAbCXpnMOPcnfcmB8_m?usp=sharing y la encuesta en el siguiente link: https://drive.google.com/drive/folders/1K1gGtcas7xqDVHAbCXpnMOPcnfcmB8_m?usp=sharing")</f>
        <v>Reuniones con grupos de interes, despues de aprobación de la estrategia 2022, al momento de este reporte trimestral, se aplicó una encuesta en Google forms en los encuentros con los presidentes de junta de las comunas y corregimientos del municipio de Pereira https://drive.google.com/drive/folders/1K1gGtcas7xqDVHAbCXpnMOPcnfcmB8_m?usp=sharing y la encuesta en el siguiente link: https://drive.google.com/drive/folders/1K1gGtcas7xqDVHAbCXpnMOPcnfcmB8_m?usp=sharing</v>
      </c>
      <c r="T242" s="11">
        <f ca="1">IFERROR(__xludf.DUMMYFUNCTION("""COMPUTED_VALUE"""),44901)</f>
        <v>44901</v>
      </c>
      <c r="U242" s="10"/>
    </row>
    <row r="243" spans="1:21" ht="382.5" x14ac:dyDescent="0.2">
      <c r="A243" s="10" t="str">
        <f ca="1">IFERROR(__xludf.DUMMYFUNCTION("""COMPUTED_VALUE"""),"Gestión con valores para resultados")</f>
        <v>Gestión con valores para resultados</v>
      </c>
      <c r="B243" s="10" t="str">
        <f ca="1">IFERROR(__xludf.DUMMYFUNCTION("""COMPUTED_VALUE"""),"Participación Ciudadana en la Gestión Pública - Rendición de Cuentas")</f>
        <v>Participación Ciudadana en la Gestión Pública - Rendición de Cuentas</v>
      </c>
      <c r="C243" s="10" t="str">
        <f ca="1">IFERROR(__xludf.DUMMYFUNCTION("""COMPUTED_VALUE"""),"Realizar reuniones preparatorias y acciones de capacitación con líderes de organizaciones sociales y grupos de interés para formular y ejecutar mecanismos de convocatoria a los espacios de diálogo.")</f>
        <v>Realizar reuniones preparatorias y acciones de capacitación con líderes de organizaciones sociales y grupos de interés para formular y ejecutar mecanismos de convocatoria a los espacios de diálogo.</v>
      </c>
      <c r="D243" s="10" t="str">
        <f ca="1">IFERROR(__xludf.DUMMYFUNCTION("""COMPUTED_VALUE"""),"4 reuniones")</f>
        <v>4 reuniones</v>
      </c>
      <c r="E243" s="10" t="str">
        <f ca="1">IFERROR(__xludf.DUMMYFUNCTION("""COMPUTED_VALUE"""),"Nº de reuniones realizadas/ Nº de reuniones propuestas")</f>
        <v>Nº de reuniones realizadas/ Nº de reuniones propuestas</v>
      </c>
      <c r="F243" s="11">
        <f ca="1">IFERROR(__xludf.DUMMYFUNCTION("""COMPUTED_VALUE"""),44564)</f>
        <v>44564</v>
      </c>
      <c r="G243" s="11">
        <f ca="1">IFERROR(__xludf.DUMMYFUNCTION("""COMPUTED_VALUE"""),44925)</f>
        <v>44925</v>
      </c>
      <c r="H243" s="10" t="str">
        <f ca="1">IFERROR(__xludf.DUMMYFUNCTION("""COMPUTED_VALUE"""),"Profesional Especializado")</f>
        <v>Profesional Especializado</v>
      </c>
      <c r="I243" s="12">
        <f ca="1">IFERROR(__xludf.DUMMYFUNCTION("""COMPUTED_VALUE"""),0.25)</f>
        <v>0.25</v>
      </c>
      <c r="J243" s="10" t="str">
        <f ca="1">IFERROR(__xludf.DUMMYFUNCTION("""COMPUTED_VALUE"""),"Se realizó la caracterización, quedamos pendientes de ejecutar reuniones preparatorias")</f>
        <v>Se realizó la caracterización, quedamos pendientes de ejecutar reuniones preparatorias</v>
      </c>
      <c r="K243" s="11">
        <f ca="1">IFERROR(__xludf.DUMMYFUNCTION("""COMPUTED_VALUE"""),44651)</f>
        <v>44651</v>
      </c>
      <c r="L243" s="12">
        <f ca="1">IFERROR(__xludf.DUMMYFUNCTION("""COMPUTED_VALUE"""),0.25)</f>
        <v>0.25</v>
      </c>
      <c r="M243" s="10" t="str">
        <f ca="1">IFERROR(__xludf.DUMMYFUNCTION("""COMPUTED_VALUE"""),"Reuniones con grupos de interes, despues de aprobación de la estrategia 2022, al momento de este reporte trimestral, se está aplicando una encuesta en Google forms en los encuentros con los presidentes de junta de las comunas y corregimientos del municipi"&amp;"o de Pereira https://drive.google.com/file/d/1Gd4QqLPWBNH6VQK_CgYNi9GxdowFuddr/view?usp=drivesdk")</f>
        <v>Reuniones con grupos de interes, despues de aprobación de la estrategia 2022, al momento de este reporte trimestral, se está aplicando una encuesta en Google forms en los encuentros con los presidentes de junta de las comunas y corregimientos del municipio de Pereira https://drive.google.com/file/d/1Gd4QqLPWBNH6VQK_CgYNi9GxdowFuddr/view?usp=drivesdk</v>
      </c>
      <c r="N243" s="11">
        <f ca="1">IFERROR(__xludf.DUMMYFUNCTION("""COMPUTED_VALUE"""),44651)</f>
        <v>44651</v>
      </c>
      <c r="O243" s="12">
        <f ca="1">IFERROR(__xludf.DUMMYFUNCTION("""COMPUTED_VALUE"""),1)</f>
        <v>1</v>
      </c>
      <c r="P243" s="10" t="str">
        <f ca="1">IFERROR(__xludf.DUMMYFUNCTION("""COMPUTED_VALUE"""),"Reuniones con grupos de interes, despues de aprobación de la estrategia 2022, al momento de este reporte trimestral, se socializó la estrategia en los encuentros con los presidentes de junta de las comunas y corregimientos del municipio de Pereira. https:"&amp;"//drive.google.com/drive/folders/1K1gGtcas7xqDVHAbCXpnMOPcnfcmB8_m?usp=sharing")</f>
        <v>Reuniones con grupos de interes, despues de aprobación de la estrategia 2022, al momento de este reporte trimestral, se socializó la estrategia en los encuentros con los presidentes de junta de las comunas y corregimientos del municipio de Pereira. https://drive.google.com/drive/folders/1K1gGtcas7xqDVHAbCXpnMOPcnfcmB8_m?usp=sharing</v>
      </c>
      <c r="Q243" s="11">
        <f ca="1">IFERROR(__xludf.DUMMYFUNCTION("""COMPUTED_VALUE"""),44834)</f>
        <v>44834</v>
      </c>
      <c r="R243" s="12">
        <f ca="1">IFERROR(__xludf.DUMMYFUNCTION("""COMPUTED_VALUE"""),1)</f>
        <v>1</v>
      </c>
      <c r="S243" s="10" t="str">
        <f ca="1">IFERROR(__xludf.DUMMYFUNCTION("""COMPUTED_VALUE"""),"Reuniones con grupos de interes, despues de aprobación de la estrategia 2022, al momento de este reporte trimestral, se socializó la estrategia en los encuentros con los presidentes de junta de las comunas y corregimientos del municipio de Pereira. https:"&amp;"//drive.google.com/drive/folders/1K1gGtcas7xqDVHAbCXpnMOPcnfcmB8_m?usp=sharing")</f>
        <v>Reuniones con grupos de interes, despues de aprobación de la estrategia 2022, al momento de este reporte trimestral, se socializó la estrategia en los encuentros con los presidentes de junta de las comunas y corregimientos del municipio de Pereira. https://drive.google.com/drive/folders/1K1gGtcas7xqDVHAbCXpnMOPcnfcmB8_m?usp=sharing</v>
      </c>
      <c r="T243" s="11">
        <f ca="1">IFERROR(__xludf.DUMMYFUNCTION("""COMPUTED_VALUE"""),44901)</f>
        <v>44901</v>
      </c>
      <c r="U243" s="10"/>
    </row>
    <row r="244" spans="1:21" ht="293.25" x14ac:dyDescent="0.2">
      <c r="A244" s="10" t="str">
        <f ca="1">IFERROR(__xludf.DUMMYFUNCTION("""COMPUTED_VALUE"""),"Gestión con valores para resultados")</f>
        <v>Gestión con valores para resultados</v>
      </c>
      <c r="B244" s="10" t="str">
        <f ca="1">IFERROR(__xludf.DUMMYFUNCTION("""COMPUTED_VALUE"""),"Participación Ciudadana en la Gestión Pública - Rendición de Cuentas")</f>
        <v>Participación Ciudadana en la Gestión Pública - Rendición de Cuentas</v>
      </c>
      <c r="C244" s="10" t="str">
        <f ca="1">IFERROR(__xludf.DUMMYFUNCTION("""COMPUTED_VALUE"""),"Realizar los eventos de diálogo para la rendición de cuentas sobre temas específicos y generales definidos, garantizando la intervención de la ciudadanía y grupos de valor convocados con su evaluación de la gestión y resultados.")</f>
        <v>Realizar los eventos de diálogo para la rendición de cuentas sobre temas específicos y generales definidos, garantizando la intervención de la ciudadanía y grupos de valor convocados con su evaluación de la gestión y resultados.</v>
      </c>
      <c r="D244" s="10" t="str">
        <f ca="1">IFERROR(__xludf.DUMMYFUNCTION("""COMPUTED_VALUE"""),"4 eventos")</f>
        <v>4 eventos</v>
      </c>
      <c r="E244" s="10" t="str">
        <f ca="1">IFERROR(__xludf.DUMMYFUNCTION("""COMPUTED_VALUE"""),"Nº de eventos realizados/ Nº de eventos propuestos")</f>
        <v>Nº de eventos realizados/ Nº de eventos propuestos</v>
      </c>
      <c r="F244" s="11">
        <f ca="1">IFERROR(__xludf.DUMMYFUNCTION("""COMPUTED_VALUE"""),44564)</f>
        <v>44564</v>
      </c>
      <c r="G244" s="11">
        <f ca="1">IFERROR(__xludf.DUMMYFUNCTION("""COMPUTED_VALUE"""),44925)</f>
        <v>44925</v>
      </c>
      <c r="H244" s="10" t="str">
        <f ca="1">IFERROR(__xludf.DUMMYFUNCTION("""COMPUTED_VALUE"""),"Profesional Especializado")</f>
        <v>Profesional Especializado</v>
      </c>
      <c r="I244" s="12">
        <f ca="1">IFERROR(__xludf.DUMMYFUNCTION("""COMPUTED_VALUE"""),0)</f>
        <v>0</v>
      </c>
      <c r="J244" s="10" t="str">
        <f ca="1">IFERROR(__xludf.DUMMYFUNCTION("""COMPUTED_VALUE"""),"Se tendrá en cuenta garantiza la intervencion de la ciudadania en los espacios de rendición de cuentas- esta actividad no corresponde en el plan de trabajo a este trimestre")</f>
        <v>Se tendrá en cuenta garantiza la intervencion de la ciudadania en los espacios de rendición de cuentas- esta actividad no corresponde en el plan de trabajo a este trimestre</v>
      </c>
      <c r="K244" s="11">
        <f ca="1">IFERROR(__xludf.DUMMYFUNCTION("""COMPUTED_VALUE"""),44651)</f>
        <v>44651</v>
      </c>
      <c r="L244" s="12">
        <f ca="1">IFERROR(__xludf.DUMMYFUNCTION("""COMPUTED_VALUE"""),0)</f>
        <v>0</v>
      </c>
      <c r="M244" s="10"/>
      <c r="N244" s="11">
        <f ca="1">IFERROR(__xludf.DUMMYFUNCTION("""COMPUTED_VALUE"""),44742)</f>
        <v>44742</v>
      </c>
      <c r="O244" s="12">
        <f ca="1">IFERROR(__xludf.DUMMYFUNCTION("""COMPUTED_VALUE"""),0)</f>
        <v>0</v>
      </c>
      <c r="P244" s="10" t="str">
        <f ca="1">IFERROR(__xludf.DUMMYFUNCTION("""COMPUTED_VALUE"""),"Se realizaran para el mes de noviembre y diciembre - Son dos eventos. Se realiza para el Cuarto trimestre.")</f>
        <v>Se realizaran para el mes de noviembre y diciembre - Son dos eventos. Se realiza para el Cuarto trimestre.</v>
      </c>
      <c r="Q244" s="11">
        <f ca="1">IFERROR(__xludf.DUMMYFUNCTION("""COMPUTED_VALUE"""),44834)</f>
        <v>44834</v>
      </c>
      <c r="R244" s="12">
        <f ca="1">IFERROR(__xludf.DUMMYFUNCTION("""COMPUTED_VALUE"""),1)</f>
        <v>1</v>
      </c>
      <c r="S244" s="10" t="str">
        <f ca="1">IFERROR(__xludf.DUMMYFUNCTION("""COMPUTED_VALUE"""),"Se han realizado 2 eventos (una el 25 de noviembre dirigida a Gremios - Empresarios y otra el 2 de diciembre dirigida a Asesores de prensa) se tiene proyectado para el próximo 9 de diciembre el evento con concejos territoriales de planeación.")</f>
        <v>Se han realizado 2 eventos (una el 25 de noviembre dirigida a Gremios - Empresarios y otra el 2 de diciembre dirigida a Asesores de prensa) se tiene proyectado para el próximo 9 de diciembre el evento con concejos territoriales de planeación.</v>
      </c>
      <c r="T244" s="11">
        <f ca="1">IFERROR(__xludf.DUMMYFUNCTION("""COMPUTED_VALUE"""),44901)</f>
        <v>44901</v>
      </c>
      <c r="U244" s="10"/>
    </row>
    <row r="245" spans="1:21" ht="280.5" x14ac:dyDescent="0.2">
      <c r="A245" s="10" t="str">
        <f ca="1">IFERROR(__xludf.DUMMYFUNCTION("""COMPUTED_VALUE"""),"Gestión con valores para resultados")</f>
        <v>Gestión con valores para resultados</v>
      </c>
      <c r="B245" s="10" t="str">
        <f ca="1">IFERROR(__xludf.DUMMYFUNCTION("""COMPUTED_VALUE"""),"Participación Ciudadana en la Gestión Pública - Rendición de Cuentas")</f>
        <v>Participación Ciudadana en la Gestión Pública - Rendición de Cuentas</v>
      </c>
      <c r="C245" s="10" t="str">
        <f ca="1">IFERROR(__xludf.DUMMYFUNCTION("""COMPUTED_VALUE"""),"Formular, previa evaluación por parte de los responsables, planes de mejoramiento a la gestión institucional a partir de las observaciones, propuestas y recomendaciones ciudadanas.")</f>
        <v>Formular, previa evaluación por parte de los responsables, planes de mejoramiento a la gestión institucional a partir de las observaciones, propuestas y recomendaciones ciudadanas.</v>
      </c>
      <c r="D245" s="10" t="str">
        <f ca="1">IFERROR(__xludf.DUMMYFUNCTION("""COMPUTED_VALUE"""),"Realizar el Informe")</f>
        <v>Realizar el Informe</v>
      </c>
      <c r="E245" s="10" t="str">
        <f ca="1">IFERROR(__xludf.DUMMYFUNCTION("""COMPUTED_VALUE"""),"Informe")</f>
        <v>Informe</v>
      </c>
      <c r="F245" s="11">
        <f ca="1">IFERROR(__xludf.DUMMYFUNCTION("""COMPUTED_VALUE"""),44564)</f>
        <v>44564</v>
      </c>
      <c r="G245" s="11">
        <f ca="1">IFERROR(__xludf.DUMMYFUNCTION("""COMPUTED_VALUE"""),44925)</f>
        <v>44925</v>
      </c>
      <c r="H245" s="10" t="str">
        <f ca="1">IFERROR(__xludf.DUMMYFUNCTION("""COMPUTED_VALUE"""),"Profesional Especializado")</f>
        <v>Profesional Especializado</v>
      </c>
      <c r="I245" s="12">
        <f ca="1">IFERROR(__xludf.DUMMYFUNCTION("""COMPUTED_VALUE"""),0)</f>
        <v>0</v>
      </c>
      <c r="J245" s="10" t="str">
        <f ca="1">IFERROR(__xludf.DUMMYFUNCTION("""COMPUTED_VALUE"""),"No es una actividad del primer trimestre")</f>
        <v>No es una actividad del primer trimestre</v>
      </c>
      <c r="K245" s="11">
        <f ca="1">IFERROR(__xludf.DUMMYFUNCTION("""COMPUTED_VALUE"""),44651)</f>
        <v>44651</v>
      </c>
      <c r="L245" s="12">
        <f ca="1">IFERROR(__xludf.DUMMYFUNCTION("""COMPUTED_VALUE"""),0)</f>
        <v>0</v>
      </c>
      <c r="M245" s="10"/>
      <c r="N245" s="11">
        <f ca="1">IFERROR(__xludf.DUMMYFUNCTION("""COMPUTED_VALUE"""),44742)</f>
        <v>44742</v>
      </c>
      <c r="O245" s="12">
        <f ca="1">IFERROR(__xludf.DUMMYFUNCTION("""COMPUTED_VALUE"""),0)</f>
        <v>0</v>
      </c>
      <c r="P245" s="10" t="str">
        <f ca="1">IFERROR(__xludf.DUMMYFUNCTION("""COMPUTED_VALUE"""),"Se realiza informe despues de efectuada la audiencia. Cuarto Trimestre")</f>
        <v>Se realiza informe despues de efectuada la audiencia. Cuarto Trimestre</v>
      </c>
      <c r="Q245" s="11">
        <f ca="1">IFERROR(__xludf.DUMMYFUNCTION("""COMPUTED_VALUE"""),44834)</f>
        <v>44834</v>
      </c>
      <c r="R245" s="12">
        <f ca="1">IFERROR(__xludf.DUMMYFUNCTION("""COMPUTED_VALUE"""),1)</f>
        <v>1</v>
      </c>
      <c r="S245" s="10" t="str">
        <f ca="1">IFERROR(__xludf.DUMMYFUNCTION("""COMPUTED_VALUE"""),"Se estará a la espera de las recomendaciones impartidas por la oficina asesora de control interno, y de la formulación de planes de mejoramiento que para el proceso de rendición de cuentas se requieran una vez se efectue la socialización del informe de ev"&amp;"aluación. ")</f>
        <v xml:space="preserve">Se estará a la espera de las recomendaciones impartidas por la oficina asesora de control interno, y de la formulación de planes de mejoramiento que para el proceso de rendición de cuentas se requieran una vez se efectue la socialización del informe de evaluación. </v>
      </c>
      <c r="T245" s="11">
        <f ca="1">IFERROR(__xludf.DUMMYFUNCTION("""COMPUTED_VALUE"""),44901)</f>
        <v>44901</v>
      </c>
      <c r="U245" s="10"/>
    </row>
    <row r="246" spans="1:21" ht="191.25" x14ac:dyDescent="0.2">
      <c r="A246" s="10" t="str">
        <f ca="1">IFERROR(__xludf.DUMMYFUNCTION("""COMPUTED_VALUE"""),"Gestión con valores para resultados")</f>
        <v>Gestión con valores para resultados</v>
      </c>
      <c r="B246" s="10" t="str">
        <f ca="1">IFERROR(__xludf.DUMMYFUNCTION("""COMPUTED_VALUE"""),"Participación Ciudadana en la Gestión Pública - Rendición de Cuentas")</f>
        <v>Participación Ciudadana en la Gestión Pública - Rendición de Cuentas</v>
      </c>
      <c r="C246" s="10" t="str">
        <f ca="1">IFERROR(__xludf.DUMMYFUNCTION("""COMPUTED_VALUE"""),"Recopilar recomendaciones y sugerencias de los servidores públicos y ciudadanía a las actividades de capacitación, garantizando la cualificación de futuras actividades.")</f>
        <v>Recopilar recomendaciones y sugerencias de los servidores públicos y ciudadanía a las actividades de capacitación, garantizando la cualificación de futuras actividades.</v>
      </c>
      <c r="D246" s="10" t="str">
        <f ca="1">IFERROR(__xludf.DUMMYFUNCTION("""COMPUTED_VALUE"""),"Realizar el Informe con el insumo de la encuesta")</f>
        <v>Realizar el Informe con el insumo de la encuesta</v>
      </c>
      <c r="E246" s="10" t="str">
        <f ca="1">IFERROR(__xludf.DUMMYFUNCTION("""COMPUTED_VALUE"""),"Informe")</f>
        <v>Informe</v>
      </c>
      <c r="F246" s="11">
        <f ca="1">IFERROR(__xludf.DUMMYFUNCTION("""COMPUTED_VALUE"""),44564)</f>
        <v>44564</v>
      </c>
      <c r="G246" s="11">
        <f ca="1">IFERROR(__xludf.DUMMYFUNCTION("""COMPUTED_VALUE"""),44925)</f>
        <v>44925</v>
      </c>
      <c r="H246" s="10" t="str">
        <f ca="1">IFERROR(__xludf.DUMMYFUNCTION("""COMPUTED_VALUE"""),"Profesional Especializado")</f>
        <v>Profesional Especializado</v>
      </c>
      <c r="I246" s="12">
        <f ca="1">IFERROR(__xludf.DUMMYFUNCTION("""COMPUTED_VALUE"""),0)</f>
        <v>0</v>
      </c>
      <c r="J246" s="10" t="str">
        <f ca="1">IFERROR(__xludf.DUMMYFUNCTION("""COMPUTED_VALUE"""),"No es una actividad del primer trimestre")</f>
        <v>No es una actividad del primer trimestre</v>
      </c>
      <c r="K246" s="11">
        <f ca="1">IFERROR(__xludf.DUMMYFUNCTION("""COMPUTED_VALUE"""),44651)</f>
        <v>44651</v>
      </c>
      <c r="L246" s="12">
        <f ca="1">IFERROR(__xludf.DUMMYFUNCTION("""COMPUTED_VALUE"""),0)</f>
        <v>0</v>
      </c>
      <c r="M246" s="10"/>
      <c r="N246" s="11">
        <f ca="1">IFERROR(__xludf.DUMMYFUNCTION("""COMPUTED_VALUE"""),44742)</f>
        <v>44742</v>
      </c>
      <c r="O246" s="12">
        <f ca="1">IFERROR(__xludf.DUMMYFUNCTION("""COMPUTED_VALUE"""),0)</f>
        <v>0</v>
      </c>
      <c r="P246" s="10" t="str">
        <f ca="1">IFERROR(__xludf.DUMMYFUNCTION("""COMPUTED_VALUE"""),"Se realiza informe despues de efectuada la audiencia y teniendo como base la encuesta de control interno. Cuarto Trimestre")</f>
        <v>Se realiza informe despues de efectuada la audiencia y teniendo como base la encuesta de control interno. Cuarto Trimestre</v>
      </c>
      <c r="Q246" s="11">
        <f ca="1">IFERROR(__xludf.DUMMYFUNCTION("""COMPUTED_VALUE"""),44834)</f>
        <v>44834</v>
      </c>
      <c r="R246" s="12">
        <f ca="1">IFERROR(__xludf.DUMMYFUNCTION("""COMPUTED_VALUE"""),1)</f>
        <v>1</v>
      </c>
      <c r="S246" s="10" t="str">
        <f ca="1">IFERROR(__xludf.DUMMYFUNCTION("""COMPUTED_VALUE"""),"Se aportará el informe de evaluación impartido por la oficina asesora de control interno, en donde se recopilan las recomendaciones del proceso de rendición de cuentas. ")</f>
        <v xml:space="preserve">Se aportará el informe de evaluación impartido por la oficina asesora de control interno, en donde se recopilan las recomendaciones del proceso de rendición de cuentas. </v>
      </c>
      <c r="T246" s="11">
        <f ca="1">IFERROR(__xludf.DUMMYFUNCTION("""COMPUTED_VALUE"""),44901)</f>
        <v>44901</v>
      </c>
      <c r="U246" s="10"/>
    </row>
    <row r="247" spans="1:21" ht="191.25" x14ac:dyDescent="0.2">
      <c r="A247" s="10" t="str">
        <f ca="1">IFERROR(__xludf.DUMMYFUNCTION("""COMPUTED_VALUE"""),"Gestión con valores para resultados")</f>
        <v>Gestión con valores para resultados</v>
      </c>
      <c r="B247" s="10" t="str">
        <f ca="1">IFERROR(__xludf.DUMMYFUNCTION("""COMPUTED_VALUE"""),"Participación Ciudadana en la Gestión Pública - Rendición de Cuentas")</f>
        <v>Participación Ciudadana en la Gestión Pública - Rendición de Cuentas</v>
      </c>
      <c r="C247" s="10" t="str">
        <f ca="1">IFERROR(__xludf.DUMMYFUNCTION("""COMPUTED_VALUE"""),"Analizar las recomendaciones derivadas de cada espacio de diálogo y establecer correctivos que optimicen la gestión y faciliten el cumplimiento de las metas del plan institucional.")</f>
        <v>Analizar las recomendaciones derivadas de cada espacio de diálogo y establecer correctivos que optimicen la gestión y faciliten el cumplimiento de las metas del plan institucional.</v>
      </c>
      <c r="D247" s="10" t="str">
        <f ca="1">IFERROR(__xludf.DUMMYFUNCTION("""COMPUTED_VALUE"""),"Informe")</f>
        <v>Informe</v>
      </c>
      <c r="E247" s="10" t="str">
        <f ca="1">IFERROR(__xludf.DUMMYFUNCTION("""COMPUTED_VALUE"""),"Informe")</f>
        <v>Informe</v>
      </c>
      <c r="F247" s="11">
        <f ca="1">IFERROR(__xludf.DUMMYFUNCTION("""COMPUTED_VALUE"""),44564)</f>
        <v>44564</v>
      </c>
      <c r="G247" s="11">
        <f ca="1">IFERROR(__xludf.DUMMYFUNCTION("""COMPUTED_VALUE"""),44925)</f>
        <v>44925</v>
      </c>
      <c r="H247" s="10" t="str">
        <f ca="1">IFERROR(__xludf.DUMMYFUNCTION("""COMPUTED_VALUE"""),"Profesional Especializado")</f>
        <v>Profesional Especializado</v>
      </c>
      <c r="I247" s="12">
        <f ca="1">IFERROR(__xludf.DUMMYFUNCTION("""COMPUTED_VALUE"""),0)</f>
        <v>0</v>
      </c>
      <c r="J247" s="10" t="str">
        <f ca="1">IFERROR(__xludf.DUMMYFUNCTION("""COMPUTED_VALUE"""),"No es una actividad del primer trimestre")</f>
        <v>No es una actividad del primer trimestre</v>
      </c>
      <c r="K247" s="11">
        <f ca="1">IFERROR(__xludf.DUMMYFUNCTION("""COMPUTED_VALUE"""),44651)</f>
        <v>44651</v>
      </c>
      <c r="L247" s="12">
        <f ca="1">IFERROR(__xludf.DUMMYFUNCTION("""COMPUTED_VALUE"""),0)</f>
        <v>0</v>
      </c>
      <c r="M247" s="10"/>
      <c r="N247" s="11">
        <f ca="1">IFERROR(__xludf.DUMMYFUNCTION("""COMPUTED_VALUE"""),44742)</f>
        <v>44742</v>
      </c>
      <c r="O247" s="12">
        <f ca="1">IFERROR(__xludf.DUMMYFUNCTION("""COMPUTED_VALUE"""),0)</f>
        <v>0</v>
      </c>
      <c r="P247" s="10" t="str">
        <f ca="1">IFERROR(__xludf.DUMMYFUNCTION("""COMPUTED_VALUE"""),"Hasta el momento no se han recibido recomendaciones . Cuarto Trimestre")</f>
        <v>Hasta el momento no se han recibido recomendaciones . Cuarto Trimestre</v>
      </c>
      <c r="Q247" s="11">
        <f ca="1">IFERROR(__xludf.DUMMYFUNCTION("""COMPUTED_VALUE"""),44834)</f>
        <v>44834</v>
      </c>
      <c r="R247" s="12">
        <f ca="1">IFERROR(__xludf.DUMMYFUNCTION("""COMPUTED_VALUE"""),1)</f>
        <v>1</v>
      </c>
      <c r="S247" s="10" t="str">
        <f ca="1">IFERROR(__xludf.DUMMYFUNCTION("""COMPUTED_VALUE"""),"Se aportará el informe de evaluación impartido por la oficina asesora de control interno, en donde se analizaron las recomendaciones del proceso de rendición de cuentas. ")</f>
        <v xml:space="preserve">Se aportará el informe de evaluación impartido por la oficina asesora de control interno, en donde se analizaron las recomendaciones del proceso de rendición de cuentas. </v>
      </c>
      <c r="T247" s="11">
        <f ca="1">IFERROR(__xludf.DUMMYFUNCTION("""COMPUTED_VALUE"""),44901)</f>
        <v>44901</v>
      </c>
      <c r="U247" s="10"/>
    </row>
    <row r="248" spans="1:21" ht="242.25" x14ac:dyDescent="0.2">
      <c r="A248" s="10" t="str">
        <f ca="1">IFERROR(__xludf.DUMMYFUNCTION("""COMPUTED_VALUE"""),"Gestión con valores para resultados")</f>
        <v>Gestión con valores para resultados</v>
      </c>
      <c r="B248" s="10" t="str">
        <f ca="1">IFERROR(__xludf.DUMMYFUNCTION("""COMPUTED_VALUE"""),"Participación Ciudadana en la Gestión Pública - Rendición de Cuentas")</f>
        <v>Participación Ciudadana en la Gestión Pública - Rendición de Cuentas</v>
      </c>
      <c r="C248" s="10" t="str">
        <f ca="1">IFERROR(__xludf.DUMMYFUNCTION("""COMPUTED_VALUE"""),"Documentar las buenas prácticas de la entidad en materia de espacios de diálogo para la rendición de cuentas y sistematizarlas como insumo para la formulación de nuevas estrategias de rendición de cuentas.")</f>
        <v>Documentar las buenas prácticas de la entidad en materia de espacios de diálogo para la rendición de cuentas y sistematizarlas como insumo para la formulación de nuevas estrategias de rendición de cuentas.</v>
      </c>
      <c r="D248" s="10" t="str">
        <f ca="1">IFERROR(__xludf.DUMMYFUNCTION("""COMPUTED_VALUE"""),"Informe")</f>
        <v>Informe</v>
      </c>
      <c r="E248" s="10" t="str">
        <f ca="1">IFERROR(__xludf.DUMMYFUNCTION("""COMPUTED_VALUE"""),"Informe")</f>
        <v>Informe</v>
      </c>
      <c r="F248" s="11">
        <f ca="1">IFERROR(__xludf.DUMMYFUNCTION("""COMPUTED_VALUE"""),44564)</f>
        <v>44564</v>
      </c>
      <c r="G248" s="11">
        <f ca="1">IFERROR(__xludf.DUMMYFUNCTION("""COMPUTED_VALUE"""),44925)</f>
        <v>44925</v>
      </c>
      <c r="H248" s="10" t="str">
        <f ca="1">IFERROR(__xludf.DUMMYFUNCTION("""COMPUTED_VALUE"""),"Profesional Especializado")</f>
        <v>Profesional Especializado</v>
      </c>
      <c r="I248" s="12">
        <f ca="1">IFERROR(__xludf.DUMMYFUNCTION("""COMPUTED_VALUE"""),0)</f>
        <v>0</v>
      </c>
      <c r="J248" s="10" t="str">
        <f ca="1">IFERROR(__xludf.DUMMYFUNCTION("""COMPUTED_VALUE"""),"No es una actividad del primer trimestre")</f>
        <v>No es una actividad del primer trimestre</v>
      </c>
      <c r="K248" s="11">
        <f ca="1">IFERROR(__xludf.DUMMYFUNCTION("""COMPUTED_VALUE"""),44651)</f>
        <v>44651</v>
      </c>
      <c r="L248" s="12">
        <f ca="1">IFERROR(__xludf.DUMMYFUNCTION("""COMPUTED_VALUE"""),0)</f>
        <v>0</v>
      </c>
      <c r="M248" s="10"/>
      <c r="N248" s="11">
        <f ca="1">IFERROR(__xludf.DUMMYFUNCTION("""COMPUTED_VALUE"""),44742)</f>
        <v>44742</v>
      </c>
      <c r="O248" s="12">
        <f ca="1">IFERROR(__xludf.DUMMYFUNCTION("""COMPUTED_VALUE"""),100)</f>
        <v>100</v>
      </c>
      <c r="P248" s="10" t="str">
        <f ca="1">IFERROR(__xludf.DUMMYFUNCTION("""COMPUTED_VALUE"""),"Se tiene documentada la estrategia de rendición de cuentas con las referidas practicas. La cual se puede consultar en el siguiente link: https://drive.google.com/drive/folders/1N1A0XCJj6f4WPWFeT5kAWLeoIbi08H3B?usp=sharing")</f>
        <v>Se tiene documentada la estrategia de rendición de cuentas con las referidas practicas. La cual se puede consultar en el siguiente link: https://drive.google.com/drive/folders/1N1A0XCJj6f4WPWFeT5kAWLeoIbi08H3B?usp=sharing</v>
      </c>
      <c r="Q248" s="11">
        <f ca="1">IFERROR(__xludf.DUMMYFUNCTION("""COMPUTED_VALUE"""),44834)</f>
        <v>44834</v>
      </c>
      <c r="R248" s="12">
        <f ca="1">IFERROR(__xludf.DUMMYFUNCTION("""COMPUTED_VALUE"""),1)</f>
        <v>1</v>
      </c>
      <c r="S248" s="10" t="str">
        <f ca="1">IFERROR(__xludf.DUMMYFUNCTION("""COMPUTED_VALUE"""),"Se tiene documentada la estrategia de rendición de cuentas con las referidas practicas. La cual se puede consultar en el siguiente link: https://drive.google.com/drive/folders/1N1A0XCJj6f4WPWFeT5kAWLeoIbi08H3B?usp=sharing")</f>
        <v>Se tiene documentada la estrategia de rendición de cuentas con las referidas practicas. La cual se puede consultar en el siguiente link: https://drive.google.com/drive/folders/1N1A0XCJj6f4WPWFeT5kAWLeoIbi08H3B?usp=sharing</v>
      </c>
      <c r="T248" s="11">
        <f ca="1">IFERROR(__xludf.DUMMYFUNCTION("""COMPUTED_VALUE"""),44901)</f>
        <v>44901</v>
      </c>
      <c r="U248" s="10"/>
    </row>
    <row r="249" spans="1:21" ht="229.5" x14ac:dyDescent="0.2">
      <c r="A249" s="10" t="str">
        <f ca="1">IFERROR(__xludf.DUMMYFUNCTION("""COMPUTED_VALUE"""),"Gestión con valores para resultados")</f>
        <v>Gestión con valores para resultados</v>
      </c>
      <c r="B249" s="10" t="str">
        <f ca="1">IFERROR(__xludf.DUMMYFUNCTION("""COMPUTED_VALUE"""),"Participación Ciudadana en la Gestión Pública - Rendición de Cuentas")</f>
        <v>Participación Ciudadana en la Gestión Pública - Rendición de Cuentas</v>
      </c>
      <c r="C249" s="10" t="str">
        <f ca="1">IFERROR(__xludf.DUMMYFUNCTION("""COMPUTED_VALUE"""),"Evaluar y verificar los resultados de la implementación de la estrategia de rendición de cuentas, valorando el cumplimiento de las metas definidas frente al reto y objetivos de la estrategia.")</f>
        <v>Evaluar y verificar los resultados de la implementación de la estrategia de rendición de cuentas, valorando el cumplimiento de las metas definidas frente al reto y objetivos de la estrategia.</v>
      </c>
      <c r="D249" s="10" t="str">
        <f ca="1">IFERROR(__xludf.DUMMYFUNCTION("""COMPUTED_VALUE"""),"Informe")</f>
        <v>Informe</v>
      </c>
      <c r="E249" s="10" t="str">
        <f ca="1">IFERROR(__xludf.DUMMYFUNCTION("""COMPUTED_VALUE"""),"Informe")</f>
        <v>Informe</v>
      </c>
      <c r="F249" s="11">
        <f ca="1">IFERROR(__xludf.DUMMYFUNCTION("""COMPUTED_VALUE"""),44564)</f>
        <v>44564</v>
      </c>
      <c r="G249" s="11">
        <f ca="1">IFERROR(__xludf.DUMMYFUNCTION("""COMPUTED_VALUE"""),44925)</f>
        <v>44925</v>
      </c>
      <c r="H249" s="10" t="str">
        <f ca="1">IFERROR(__xludf.DUMMYFUNCTION("""COMPUTED_VALUE"""),"Profesional Especializado")</f>
        <v>Profesional Especializado</v>
      </c>
      <c r="I249" s="12">
        <f ca="1">IFERROR(__xludf.DUMMYFUNCTION("""COMPUTED_VALUE"""),0)</f>
        <v>0</v>
      </c>
      <c r="J249" s="10" t="str">
        <f ca="1">IFERROR(__xludf.DUMMYFUNCTION("""COMPUTED_VALUE"""),"No es una actividad del primer trimestre")</f>
        <v>No es una actividad del primer trimestre</v>
      </c>
      <c r="K249" s="11">
        <f ca="1">IFERROR(__xludf.DUMMYFUNCTION("""COMPUTED_VALUE"""),44651)</f>
        <v>44651</v>
      </c>
      <c r="L249" s="12">
        <f ca="1">IFERROR(__xludf.DUMMYFUNCTION("""COMPUTED_VALUE"""),0)</f>
        <v>0</v>
      </c>
      <c r="M249" s="10"/>
      <c r="N249" s="11">
        <f ca="1">IFERROR(__xludf.DUMMYFUNCTION("""COMPUTED_VALUE"""),44742)</f>
        <v>44742</v>
      </c>
      <c r="O249" s="12">
        <f ca="1">IFERROR(__xludf.DUMMYFUNCTION("""COMPUTED_VALUE"""),0)</f>
        <v>0</v>
      </c>
      <c r="P249" s="10" t="str">
        <f ca="1">IFERROR(__xludf.DUMMYFUNCTION("""COMPUTED_VALUE"""),"Se verifica al final. CuartoTrimestre")</f>
        <v>Se verifica al final. CuartoTrimestre</v>
      </c>
      <c r="Q249" s="11">
        <f ca="1">IFERROR(__xludf.DUMMYFUNCTION("""COMPUTED_VALUE"""),44834)</f>
        <v>44834</v>
      </c>
      <c r="R249" s="12">
        <f ca="1">IFERROR(__xludf.DUMMYFUNCTION("""COMPUTED_VALUE"""),1)</f>
        <v>1</v>
      </c>
      <c r="S249" s="10" t="str">
        <f ca="1">IFERROR(__xludf.DUMMYFUNCTION("""COMPUTED_VALUE"""),"Se aportará el informe de evaluación impartido por la oficina asesora de control interno, en donde se evaluará y se verificará los resultados de la implementación de la estrategia de rendición de cuentas. ")</f>
        <v xml:space="preserve">Se aportará el informe de evaluación impartido por la oficina asesora de control interno, en donde se evaluará y se verificará los resultados de la implementación de la estrategia de rendición de cuentas. </v>
      </c>
      <c r="T249" s="11">
        <f ca="1">IFERROR(__xludf.DUMMYFUNCTION("""COMPUTED_VALUE"""),44901)</f>
        <v>44901</v>
      </c>
      <c r="U249" s="10"/>
    </row>
    <row r="250" spans="1:21" ht="191.25" x14ac:dyDescent="0.2">
      <c r="A250" s="10" t="str">
        <f ca="1">IFERROR(__xludf.DUMMYFUNCTION("""COMPUTED_VALUE"""),"Gestión con valores para resultados")</f>
        <v>Gestión con valores para resultados</v>
      </c>
      <c r="B250" s="10" t="str">
        <f ca="1">IFERROR(__xludf.DUMMYFUNCTION("""COMPUTED_VALUE"""),"Participación Ciudadana en la Gestión Pública - Rendición de Cuentas")</f>
        <v>Participación Ciudadana en la Gestión Pública - Rendición de Cuentas</v>
      </c>
      <c r="C250" s="10" t="str">
        <f ca="1">IFERROR(__xludf.DUMMYFUNCTION("""COMPUTED_VALUE"""),"Establecer el cronograma de ejecución de las actividades de diálogo de los ejercicios de rendición de cuentas, diferenciando si son espacios de diálogo sobre la gestión general de la entidad o sobre los temas priorizados de acuerdo a la clasificación real"&amp;"izada previamente.")</f>
        <v>Establecer el cronograma de ejecución de las actividades de diálogo de los ejercicios de rendición de cuentas, diferenciando si son espacios de diálogo sobre la gestión general de la entidad o sobre los temas priorizados de acuerdo a la clasificación realizada previamente.</v>
      </c>
      <c r="D250" s="10" t="str">
        <f ca="1">IFERROR(__xludf.DUMMYFUNCTION("""COMPUTED_VALUE"""),"cronograma")</f>
        <v>cronograma</v>
      </c>
      <c r="E250" s="10" t="str">
        <f ca="1">IFERROR(__xludf.DUMMYFUNCTION("""COMPUTED_VALUE"""),"cronograma")</f>
        <v>cronograma</v>
      </c>
      <c r="F250" s="11">
        <f ca="1">IFERROR(__xludf.DUMMYFUNCTION("""COMPUTED_VALUE"""),44564)</f>
        <v>44564</v>
      </c>
      <c r="G250" s="11">
        <f ca="1">IFERROR(__xludf.DUMMYFUNCTION("""COMPUTED_VALUE"""),44925)</f>
        <v>44925</v>
      </c>
      <c r="H250" s="10" t="str">
        <f ca="1">IFERROR(__xludf.DUMMYFUNCTION("""COMPUTED_VALUE"""),"Profesional Especializado")</f>
        <v>Profesional Especializado</v>
      </c>
      <c r="I250" s="12">
        <f ca="1">IFERROR(__xludf.DUMMYFUNCTION("""COMPUTED_VALUE"""),0.1)</f>
        <v>0.1</v>
      </c>
      <c r="J250" s="10" t="str">
        <f ca="1">IFERROR(__xludf.DUMMYFUNCTION("""COMPUTED_VALUE"""),"Esta actividad se encuentra en analisis.")</f>
        <v>Esta actividad se encuentra en analisis.</v>
      </c>
      <c r="K250" s="11">
        <f ca="1">IFERROR(__xludf.DUMMYFUNCTION("""COMPUTED_VALUE"""),44651)</f>
        <v>44651</v>
      </c>
      <c r="L250" s="12">
        <f ca="1">IFERROR(__xludf.DUMMYFUNCTION("""COMPUTED_VALUE"""),0.1)</f>
        <v>0.1</v>
      </c>
      <c r="M250" s="10" t="str">
        <f ca="1">IFERROR(__xludf.DUMMYFUNCTION("""COMPUTED_VALUE"""),"Esta actividad se encuentra en analisis.")</f>
        <v>Esta actividad se encuentra en analisis.</v>
      </c>
      <c r="N250" s="11">
        <f ca="1">IFERROR(__xludf.DUMMYFUNCTION("""COMPUTED_VALUE"""),44742)</f>
        <v>44742</v>
      </c>
      <c r="O250" s="12">
        <f ca="1">IFERROR(__xludf.DUMMYFUNCTION("""COMPUTED_VALUE"""),1)</f>
        <v>1</v>
      </c>
      <c r="P250" s="10" t="str">
        <f ca="1">IFERROR(__xludf.DUMMYFUNCTION("""COMPUTED_VALUE"""),"Tercer Seguimiento ya se encuentra el cronograma de actividades elaborado. https://drive.google.com/drive/folders/1jB1etJrU2bK37NR3zCPl3IUZbTwFYBmB?usp=sharing")</f>
        <v>Tercer Seguimiento ya se encuentra el cronograma de actividades elaborado. https://drive.google.com/drive/folders/1jB1etJrU2bK37NR3zCPl3IUZbTwFYBmB?usp=sharing</v>
      </c>
      <c r="Q250" s="11">
        <f ca="1">IFERROR(__xludf.DUMMYFUNCTION("""COMPUTED_VALUE"""),44834)</f>
        <v>44834</v>
      </c>
      <c r="R250" s="12">
        <f ca="1">IFERROR(__xludf.DUMMYFUNCTION("""COMPUTED_VALUE"""),1)</f>
        <v>1</v>
      </c>
      <c r="S250" s="10" t="str">
        <f ca="1">IFERROR(__xludf.DUMMYFUNCTION("""COMPUTED_VALUE"""),"Tercer Seguimiento ya se encuentra el cronograma de actividades elaborado. https://drive.google.com/drive/folders/1jB1etJrU2bK37NR3zCPl3IUZbTwFYBmB?usp=sharing")</f>
        <v>Tercer Seguimiento ya se encuentra el cronograma de actividades elaborado. https://drive.google.com/drive/folders/1jB1etJrU2bK37NR3zCPl3IUZbTwFYBmB?usp=sharing</v>
      </c>
      <c r="T250" s="11">
        <f ca="1">IFERROR(__xludf.DUMMYFUNCTION("""COMPUTED_VALUE"""),44901)</f>
        <v>44901</v>
      </c>
      <c r="U250" s="10"/>
    </row>
    <row r="251" spans="1:21" ht="306" x14ac:dyDescent="0.2">
      <c r="A251" s="10" t="str">
        <f ca="1">IFERROR(__xludf.DUMMYFUNCTION("""COMPUTED_VALUE"""),"Gestión con valores para resultados")</f>
        <v>Gestión con valores para resultados</v>
      </c>
      <c r="B251" s="10" t="str">
        <f ca="1">IFERROR(__xludf.DUMMYFUNCTION("""COMPUTED_VALUE"""),"Participación Ciudadana en la Gestión Pública - Rendición de Cuentas")</f>
        <v>Participación Ciudadana en la Gestión Pública - Rendición de Cuentas</v>
      </c>
      <c r="C251" s="10" t="str">
        <f ca="1">IFERROR(__xludf.DUMMYFUNCTION("""COMPUTED_VALUE"""),"Estandarizar formatos internos de reporte de las actividades de rendición de cuentas que se realizarán en toda la entidad que como mínimo contenga: Actividades realizadas, grupos de valor involucrados, aportes, resultados, observaciones, propuestas y reco"&amp;"mendaciones ciudadanas.")</f>
        <v>Estandarizar formatos internos de reporte de las actividades de rendición de cuentas que se realizarán en toda la entidad que como mínimo contenga: Actividades realizadas, grupos de valor involucrados, aportes, resultados, observaciones, propuestas y recomendaciones ciudadanas.</v>
      </c>
      <c r="D251" s="10" t="str">
        <f ca="1">IFERROR(__xludf.DUMMYFUNCTION("""COMPUTED_VALUE"""),"Formatos internos de reportes")</f>
        <v>Formatos internos de reportes</v>
      </c>
      <c r="E251" s="10" t="str">
        <f ca="1">IFERROR(__xludf.DUMMYFUNCTION("""COMPUTED_VALUE"""),"Formatos internos de reportes")</f>
        <v>Formatos internos de reportes</v>
      </c>
      <c r="F251" s="11">
        <f ca="1">IFERROR(__xludf.DUMMYFUNCTION("""COMPUTED_VALUE"""),44564)</f>
        <v>44564</v>
      </c>
      <c r="G251" s="11">
        <f ca="1">IFERROR(__xludf.DUMMYFUNCTION("""COMPUTED_VALUE"""),44925)</f>
        <v>44925</v>
      </c>
      <c r="H251" s="10" t="str">
        <f ca="1">IFERROR(__xludf.DUMMYFUNCTION("""COMPUTED_VALUE"""),"Profesional Especializado")</f>
        <v>Profesional Especializado</v>
      </c>
      <c r="I251" s="12">
        <f ca="1">IFERROR(__xludf.DUMMYFUNCTION("""COMPUTED_VALUE"""),0)</f>
        <v>0</v>
      </c>
      <c r="J251" s="10" t="str">
        <f ca="1">IFERROR(__xludf.DUMMYFUNCTION("""COMPUTED_VALUE"""),"En el primer comité de rendicion de cuentas se define esta actividad respecto al formato interno de reporte de las actividades.")</f>
        <v>En el primer comité de rendicion de cuentas se define esta actividad respecto al formato interno de reporte de las actividades.</v>
      </c>
      <c r="K251" s="11">
        <f ca="1">IFERROR(__xludf.DUMMYFUNCTION("""COMPUTED_VALUE"""),44651)</f>
        <v>44651</v>
      </c>
      <c r="L251" s="12">
        <f ca="1">IFERROR(__xludf.DUMMYFUNCTION("""COMPUTED_VALUE"""),0)</f>
        <v>0</v>
      </c>
      <c r="M251" s="10" t="str">
        <f ca="1">IFERROR(__xludf.DUMMYFUNCTION("""COMPUTED_VALUE"""),"En el primer comité de rendicion de cuentas se define esta actividad respecto al formato interno de reporte de las actividades.")</f>
        <v>En el primer comité de rendicion de cuentas se define esta actividad respecto al formato interno de reporte de las actividades.</v>
      </c>
      <c r="N251" s="11">
        <f ca="1">IFERROR(__xludf.DUMMYFUNCTION("""COMPUTED_VALUE"""),44742)</f>
        <v>44742</v>
      </c>
      <c r="O251" s="12">
        <f ca="1">IFERROR(__xludf.DUMMYFUNCTION("""COMPUTED_VALUE"""),1)</f>
        <v>1</v>
      </c>
      <c r="P251" s="10" t="str">
        <f ca="1">IFERROR(__xludf.DUMMYFUNCTION("""COMPUTED_VALUE"""),"Se cuenta con las  plantillas estandarizadas que diseño la secretaria de Planeacion para el diligenciamiento del informe de gestion de rendicion de cuedntas vigenvia 2021 -2022https://drive.google.com/drive/folders/1uYGPm3Jv03aAdzkLKfnfHYM9JHccmRt?usp=sha"&amp;"ring")</f>
        <v>Se cuenta con las  plantillas estandarizadas que diseño la secretaria de Planeacion para el diligenciamiento del informe de gestion de rendicion de cuedntas vigenvia 2021 -2022https://drive.google.com/drive/folders/1uYGPm3Jv03aAdzkLKfnfHYM9JHccmRt?usp=sharing</v>
      </c>
      <c r="Q251" s="11">
        <f ca="1">IFERROR(__xludf.DUMMYFUNCTION("""COMPUTED_VALUE"""),44834)</f>
        <v>44834</v>
      </c>
      <c r="R251" s="12">
        <f ca="1">IFERROR(__xludf.DUMMYFUNCTION("""COMPUTED_VALUE"""),1)</f>
        <v>1</v>
      </c>
      <c r="S251" s="10" t="str">
        <f ca="1">IFERROR(__xludf.DUMMYFUNCTION("""COMPUTED_VALUE"""),"Se cuenta con las  plantillas estandarizadas que diseño la secretaria de Planeacion para el diligenciamiento del informe de gestion de rendicion de cuedntas vigenvia 2021 -2022https://drive.google.com/drive/folders/1uYGPm3Jv03aAdzkLKfnfHYM9JHccmRt?usp=sha"&amp;"ring")</f>
        <v>Se cuenta con las  plantillas estandarizadas que diseño la secretaria de Planeacion para el diligenciamiento del informe de gestion de rendicion de cuedntas vigenvia 2021 -2022https://drive.google.com/drive/folders/1uYGPm3Jv03aAdzkLKfnfHYM9JHccmRt?usp=sharing</v>
      </c>
      <c r="T251" s="11">
        <f ca="1">IFERROR(__xludf.DUMMYFUNCTION("""COMPUTED_VALUE"""),44901)</f>
        <v>44901</v>
      </c>
      <c r="U251" s="10"/>
    </row>
    <row r="252" spans="1:21" ht="306" x14ac:dyDescent="0.2">
      <c r="A252" s="10" t="str">
        <f ca="1">IFERROR(__xludf.DUMMYFUNCTION("""COMPUTED_VALUE"""),"Gestión con valores para resultados")</f>
        <v>Gestión con valores para resultados</v>
      </c>
      <c r="B252" s="10" t="str">
        <f ca="1">IFERROR(__xludf.DUMMYFUNCTION("""COMPUTED_VALUE"""),"Participación Ciudadana en la Gestión Pública - Rendición de Cuentas")</f>
        <v>Participación Ciudadana en la Gestión Pública - Rendición de Cuentas</v>
      </c>
      <c r="C252" s="10" t="str">
        <f ca="1">IFERROR(__xludf.DUMMYFUNCTION("""COMPUTED_VALUE"""),"Diligenciar el formato interno de reporte definido con los resultados obtenidos en el ejercicio, y entregarlo al área de planeación.")</f>
        <v>Diligenciar el formato interno de reporte definido con los resultados obtenidos en el ejercicio, y entregarlo al área de planeación.</v>
      </c>
      <c r="D252" s="10" t="str">
        <f ca="1">IFERROR(__xludf.DUMMYFUNCTION("""COMPUTED_VALUE"""),"Informe")</f>
        <v>Informe</v>
      </c>
      <c r="E252" s="10" t="str">
        <f ca="1">IFERROR(__xludf.DUMMYFUNCTION("""COMPUTED_VALUE"""),"informe")</f>
        <v>informe</v>
      </c>
      <c r="F252" s="11">
        <f ca="1">IFERROR(__xludf.DUMMYFUNCTION("""COMPUTED_VALUE"""),44564)</f>
        <v>44564</v>
      </c>
      <c r="G252" s="11">
        <f ca="1">IFERROR(__xludf.DUMMYFUNCTION("""COMPUTED_VALUE"""),44925)</f>
        <v>44925</v>
      </c>
      <c r="H252" s="10" t="str">
        <f ca="1">IFERROR(__xludf.DUMMYFUNCTION("""COMPUTED_VALUE"""),"Profesional Especializado")</f>
        <v>Profesional Especializado</v>
      </c>
      <c r="I252" s="12">
        <f ca="1">IFERROR(__xludf.DUMMYFUNCTION("""COMPUTED_VALUE"""),0)</f>
        <v>0</v>
      </c>
      <c r="J252" s="10" t="str">
        <f ca="1">IFERROR(__xludf.DUMMYFUNCTION("""COMPUTED_VALUE"""),"Se esta realizando una revision de la informacion, esta actividad se inicia a partir del segundo trimestre.")</f>
        <v>Se esta realizando una revision de la informacion, esta actividad se inicia a partir del segundo trimestre.</v>
      </c>
      <c r="K252" s="11">
        <f ca="1">IFERROR(__xludf.DUMMYFUNCTION("""COMPUTED_VALUE"""),44651)</f>
        <v>44651</v>
      </c>
      <c r="L252" s="12">
        <f ca="1">IFERROR(__xludf.DUMMYFUNCTION("""COMPUTED_VALUE"""),0)</f>
        <v>0</v>
      </c>
      <c r="M252" s="10" t="str">
        <f ca="1">IFERROR(__xludf.DUMMYFUNCTION("""COMPUTED_VALUE"""),"Se esta realizando una revision de la informacion, esta actividad se inicia a partir del tercer trimstre.")</f>
        <v>Se esta realizando una revision de la informacion, esta actividad se inicia a partir del tercer trimstre.</v>
      </c>
      <c r="N252" s="11">
        <f ca="1">IFERROR(__xludf.DUMMYFUNCTION("""COMPUTED_VALUE"""),44742)</f>
        <v>44742</v>
      </c>
      <c r="O252" s="12">
        <f ca="1">IFERROR(__xludf.DUMMYFUNCTION("""COMPUTED_VALUE"""),1)</f>
        <v>1</v>
      </c>
      <c r="P252" s="10" t="str">
        <f ca="1">IFERROR(__xludf.DUMMYFUNCTION("""COMPUTED_VALUE"""),"Se cuenta con las plantillas estandarizadas que diseñó la Secretaría de Planeación para el diligenciamiento del informe de gestión de rendición de cuentas vigencia 2021- 2022.  https://drive.google.com/drive/folders/1uYGPm3Jv03aAdzklLkfnfHYM9JHccmRt?usp=s"&amp;"haring")</f>
        <v>Se cuenta con las plantillas estandarizadas que diseñó la Secretaría de Planeación para el diligenciamiento del informe de gestión de rendición de cuentas vigencia 2021- 2022.  https://drive.google.com/drive/folders/1uYGPm3Jv03aAdzklLkfnfHYM9JHccmRt?usp=sharing</v>
      </c>
      <c r="Q252" s="11">
        <f ca="1">IFERROR(__xludf.DUMMYFUNCTION("""COMPUTED_VALUE"""),44834)</f>
        <v>44834</v>
      </c>
      <c r="R252" s="12">
        <f ca="1">IFERROR(__xludf.DUMMYFUNCTION("""COMPUTED_VALUE"""),1)</f>
        <v>1</v>
      </c>
      <c r="S252" s="10" t="str">
        <f ca="1">IFERROR(__xludf.DUMMYFUNCTION("""COMPUTED_VALUE"""),"Se cuenta con las plantillas estandarizadas que diseñó la Secretaría de Planeación para el diligenciamiento del informe de gestión de rendición de cuentas vigencia 2021- 2022.  https://drive.google.com/drive/folders/1uYGPm3Jv03aAdzklLkfnfHYM9JHccmRt?usp=s"&amp;"haring")</f>
        <v>Se cuenta con las plantillas estandarizadas que diseñó la Secretaría de Planeación para el diligenciamiento del informe de gestión de rendición de cuentas vigencia 2021- 2022.  https://drive.google.com/drive/folders/1uYGPm3Jv03aAdzklLkfnfHYM9JHccmRt?usp=sharing</v>
      </c>
      <c r="T252" s="11">
        <f ca="1">IFERROR(__xludf.DUMMYFUNCTION("""COMPUTED_VALUE"""),44901)</f>
        <v>44901</v>
      </c>
      <c r="U252" s="10"/>
    </row>
    <row r="253" spans="1:21" ht="409.5" x14ac:dyDescent="0.2">
      <c r="A253" s="10" t="str">
        <f ca="1">IFERROR(__xludf.DUMMYFUNCTION("""COMPUTED_VALUE"""),"Gestión con valores para resultados")</f>
        <v>Gestión con valores para resultados</v>
      </c>
      <c r="B253" s="10" t="str">
        <f ca="1">IFERROR(__xludf.DUMMYFUNCTION("""COMPUTED_VALUE"""),"Participación Ciudadana en la Gestión Pública - Rendición de Cuentas")</f>
        <v>Participación Ciudadana en la Gestión Pública - Rendición de Cuentas</v>
      </c>
      <c r="C253" s="10" t="str">
        <f ca="1">IFERROR(__xludf.DUMMYFUNCTION("""COMPUTED_VALUE"""),"Acordar con los grupos de valor, especialmente con organizaciones sociales y grupos de interés ciudadano los periodos y metodologías para realizar los espacios de diálogo sobre temas específicos.")</f>
        <v>Acordar con los grupos de valor, especialmente con organizaciones sociales y grupos de interés ciudadano los periodos y metodologías para realizar los espacios de diálogo sobre temas específicos.</v>
      </c>
      <c r="D253" s="10" t="str">
        <f ca="1">IFERROR(__xludf.DUMMYFUNCTION("""COMPUTED_VALUE"""),"Realizacion de 11 procesos electorales de Presupuesto Participativo en las siguientes comunas y corregimientos del Municipio de Pereira:  Comuna El Poblado, Comuna Rio Otún, Comuna Olímpica, Comuna Cuba, Comuna El Rocío, Comuna Perla del Otún, Comuna El J"&amp;"ardín, Comuna Villavicencio, Comuna Villasantana, Corregimiento Combia Baja, Corregimiento Estrella La Palmilla. Como evidencia se cuenta con sus correspondientes actas de escrutinio, actas de reunión y registros fotográficos.")</f>
        <v>Realizacion de 11 procesos electorales de Presupuesto Participativo en las siguientes comunas y corregimientos del Municipio de Pereira:  Comuna El Poblado, Comuna Rio Otún, Comuna Olímpica, Comuna Cuba, Comuna El Rocío, Comuna Perla del Otún, Comuna El Jardín, Comuna Villavicencio, Comuna Villasantana, Corregimiento Combia Baja, Corregimiento Estrella La Palmilla. Como evidencia se cuenta con sus correspondientes actas de escrutinio, actas de reunión y registros fotográficos.</v>
      </c>
      <c r="E253" s="10" t="str">
        <f ca="1">IFERROR(__xludf.DUMMYFUNCTION("""COMPUTED_VALUE"""),"31 procesos electorales de presupuesto participativo")</f>
        <v>31 procesos electorales de presupuesto participativo</v>
      </c>
      <c r="F253" s="11">
        <f ca="1">IFERROR(__xludf.DUMMYFUNCTION("""COMPUTED_VALUE"""),44564)</f>
        <v>44564</v>
      </c>
      <c r="G253" s="11">
        <f ca="1">IFERROR(__xludf.DUMMYFUNCTION("""COMPUTED_VALUE"""),44925)</f>
        <v>44925</v>
      </c>
      <c r="H253" s="10" t="str">
        <f ca="1">IFERROR(__xludf.DUMMYFUNCTION("""COMPUTED_VALUE"""),"Subsecretario de Planificacion Socioeconomica")</f>
        <v>Subsecretario de Planificacion Socioeconomica</v>
      </c>
      <c r="I253" s="12">
        <f ca="1">IFERROR(__xludf.DUMMYFUNCTION("""COMPUTED_VALUE"""),0.2)</f>
        <v>0.2</v>
      </c>
      <c r="J253" s="10" t="str">
        <f ca="1">IFERROR(__xludf.DUMMYFUNCTION("""COMPUTED_VALUE"""),"10 obras ejecutadas por parte de la Empresa de Desarrollo Urbano de Pereira (EDUP), del Contrato 3418 de 15 de junio de 2021 de los proyectos de Presupuesto Participativo 2019, en las siguientes Comunas y Corregimientos: El poblado, Del café, Oriente, Jar"&amp;"dín, Arabia, Tribunas Corcega, Puerto Caldas, Estrella la Palmilla. Se cuenta con informe final de obras y registro fotográfico.")</f>
        <v>10 obras ejecutadas por parte de la Empresa de Desarrollo Urbano de Pereira (EDUP), del Contrato 3418 de 15 de junio de 2021 de los proyectos de Presupuesto Participativo 2019, en las siguientes Comunas y Corregimientos: El poblado, Del café, Oriente, Jardín, Arabia, Tribunas Corcega, Puerto Caldas, Estrella la Palmilla. Se cuenta con informe final de obras y registro fotográfico.</v>
      </c>
      <c r="K253" s="11">
        <f ca="1">IFERROR(__xludf.DUMMYFUNCTION("""COMPUTED_VALUE"""),44651)</f>
        <v>44651</v>
      </c>
      <c r="L253" s="12">
        <f ca="1">IFERROR(__xludf.DUMMYFUNCTION("""COMPUTED_VALUE"""),0.2)</f>
        <v>0.2</v>
      </c>
      <c r="M253" s="10" t="str">
        <f ca="1">IFERROR(__xludf.DUMMYFUNCTION("""COMPUTED_VALUE"""),"Se realizaron reuniones de concertación en las comunas y corregimientos del municipio, con el fin de elaborar los presupuestos de los proyectos ganadores en las elecciones del 2021 y definir convenio a ejecutarlo con la secretaria de infraestructura y/o e"&amp;"mpresa de desarrollo urbano Pereira. 
 Seguimiento a la entrega de los proyectos incluidos dentro del presupuesto participativo en la comuna del ROCIO instrumentos musicales, la entrega de la cerámica a la comuna de SAN NICOLAS y concertación con las co"&amp;"munas que ganaron arreglo de casetas para la entrega de materiales de construcción. 
 Con el fin de dar cumplimiento a la ejecución de los proyectos elegidos por votación popular en las elecciones de vigencias pasadas, se solicitaron la expedición de lo"&amp;"s CDP para las mininas de herramientas y dotación, inmobiliario y electrodoméstico y kits escolares. con el fin de adelantar los procesos de contratación.")</f>
        <v>Se realizaron reuniones de concertación en las comunas y corregimientos del municipio, con el fin de elaborar los presupuestos de los proyectos ganadores en las elecciones del 2021 y definir convenio a ejecutarlo con la secretaria de infraestructura y/o empresa de desarrollo urbano Pereira. 
 Seguimiento a la entrega de los proyectos incluidos dentro del presupuesto participativo en la comuna del ROCIO instrumentos musicales, la entrega de la cerámica a la comuna de SAN NICOLAS y concertación con las comunas que ganaron arreglo de casetas para la entrega de materiales de construcción. 
 Con el fin de dar cumplimiento a la ejecución de los proyectos elegidos por votación popular en las elecciones de vigencias pasadas, se solicitaron la expedición de los CDP para las mininas de herramientas y dotación, inmobiliario y electrodoméstico y kits escolares. con el fin de adelantar los procesos de contratación.</v>
      </c>
      <c r="N253" s="11">
        <f ca="1">IFERROR(__xludf.DUMMYFUNCTION("""COMPUTED_VALUE"""),44742)</f>
        <v>44742</v>
      </c>
      <c r="O253" s="12">
        <f ca="1">IFERROR(__xludf.DUMMYFUNCTION("""COMPUTED_VALUE"""),0.4)</f>
        <v>0.4</v>
      </c>
      <c r="P253" s="10" t="str">
        <f ca="1">IFERROR(__xludf.DUMMYFUNCTION("""COMPUTED_VALUE"""),"1.Perfeccionamiento y acta de inicio del contrato interadministrativo con la Empresa de Desarrollo Urbano (EDUP) para la ejecución de 10 proyectos por valor de $1.138.198.515. 2. Formalización de convenio interadministrativo con la Gobernación de Risarald"&amp;"a por valor de $579.616.203, para la ejecución de 5 proyectos de presupuesto participativo. 3. Traslado a la secretaría de deportes de $253.476.668 para el suministro de dotación de equipos de audio y uniformes para 7 proyectos de comunas y corregimientos"&amp;". 4. Se da traslado de $83.815.931 a la Secretaría de Desarrollo social para la ejecución de 3 proyectos de presupuesto participativo en el suministro de mobiliario, equipos de cocina y electrodomésticos. 5. Se inicia traslado de adición de $280.000.000 a"&amp;" la secretaría de Infraestructura para la ejecución de 2 proyectos de presupuesto participativo por suministro de materiales de construcción.")</f>
        <v>1.Perfeccionamiento y acta de inicio del contrato interadministrativo con la Empresa de Desarrollo Urbano (EDUP) para la ejecución de 10 proyectos por valor de $1.138.198.515. 2. Formalización de convenio interadministrativo con la Gobernación de Risaralda por valor de $579.616.203, para la ejecución de 5 proyectos de presupuesto participativo. 3. Traslado a la secretaría de deportes de $253.476.668 para el suministro de dotación de equipos de audio y uniformes para 7 proyectos de comunas y corregimientos. 4. Se da traslado de $83.815.931 a la Secretaría de Desarrollo social para la ejecución de 3 proyectos de presupuesto participativo en el suministro de mobiliario, equipos de cocina y electrodomésticos. 5. Se inicia traslado de adición de $280.000.000 a la secretaría de Infraestructura para la ejecución de 2 proyectos de presupuesto participativo por suministro de materiales de construcción.</v>
      </c>
      <c r="Q253" s="11">
        <f ca="1">IFERROR(__xludf.DUMMYFUNCTION("""COMPUTED_VALUE"""),44834)</f>
        <v>44834</v>
      </c>
      <c r="R253" s="12">
        <f ca="1">IFERROR(__xludf.DUMMYFUNCTION("""COMPUTED_VALUE"""),0.7)</f>
        <v>0.7</v>
      </c>
      <c r="S253" s="10" t="str">
        <f ca="1">IFERROR(__xludf.DUMMYFUNCTION("""COMPUTED_VALUE"""),"Se realizó seguimiento al convenio interadministrativo No. 4516 del 5 de septiembre de 2022 con la EDUP.Obras en proceso de ejecución vigencias 2020 y 2021:  Comuna Poblado: Miradores.  Comuna el Jardín: Escenario Deportivo.  Comuna del Café: Mejoramie"&amp;"nto Parque  Corregimiento de Arabia: Compra de Insumo para acueductos.  Corregimiento de Puerto Caldas: Instalación postes de energía. Se realizaron entregas de los proyectos vigencia 2020 y 2021: Entrega de materiales de construcción para mejoramiento "&amp;"de las casetas comunales:  Comunas el Oso y San Nicolás.  Corregimientos de Cerritos y la Florida. Se realizaron entregas de los proyectos vigencia 2018 y 2019: Entrega de suministros mobiliarios y electrodomésticos:  Corregimiento de la Florida  Comu"&amp;"na Río Otún  Comuna Perla del Otún. Se llevaron a cabo las elecciones de Presupuesto Participativo vigencia 2019 de la comuna Boston que estaban pendientes, el día cuatro (4) de diciembre del presente año, proyecto ganador: mano de obra para mejoramiento"&amp;" de casetas comunales propiedad del municipio.")</f>
        <v>Se realizó seguimiento al convenio interadministrativo No. 4516 del 5 de septiembre de 2022 con la EDUP.Obras en proceso de ejecución vigencias 2020 y 2021:  Comuna Poblado: Miradores.  Comuna el Jardín: Escenario Deportivo.  Comuna del Café: Mejoramiento Parque  Corregimiento de Arabia: Compra de Insumo para acueductos.  Corregimiento de Puerto Caldas: Instalación postes de energía. Se realizaron entregas de los proyectos vigencia 2020 y 2021: Entrega de materiales de construcción para mejoramiento de las casetas comunales:  Comunas el Oso y San Nicolás.  Corregimientos de Cerritos y la Florida. Se realizaron entregas de los proyectos vigencia 2018 y 2019: Entrega de suministros mobiliarios y electrodomésticos:  Corregimiento de la Florida  Comuna Río Otún  Comuna Perla del Otún. Se llevaron a cabo las elecciones de Presupuesto Participativo vigencia 2019 de la comuna Boston que estaban pendientes, el día cuatro (4) de diciembre del presente año, proyecto ganador: mano de obra para mejoramiento de casetas comunales propiedad del municipio.</v>
      </c>
      <c r="T253" s="11">
        <f ca="1">IFERROR(__xludf.DUMMYFUNCTION("""COMPUTED_VALUE"""),44926)</f>
        <v>44926</v>
      </c>
      <c r="U253" s="10"/>
    </row>
    <row r="254" spans="1:21" ht="369.75" x14ac:dyDescent="0.2">
      <c r="A254" s="10" t="str">
        <f ca="1">IFERROR(__xludf.DUMMYFUNCTION("""COMPUTED_VALUE"""),"Gestión con valores para resultados")</f>
        <v>Gestión con valores para resultados</v>
      </c>
      <c r="B254" s="10" t="str">
        <f ca="1">IFERROR(__xludf.DUMMYFUNCTION("""COMPUTED_VALUE"""),"Participación Ciudadana en la Gestión Pública - Rendición de Cuentas")</f>
        <v>Participación Ciudadana en la Gestión Pública - Rendición de Cuentas</v>
      </c>
      <c r="C254" s="10" t="str">
        <f ca="1">IFERROR(__xludf.DUMMYFUNCTION("""COMPUTED_VALUE"""),"Preparar la información sobre el cumplimiento de metas (plan de acción, POAI) de los programas, proyectos y servicios implementados, con sus respectivos indicadores, verificando la calidad de la misma y asociándola a los diversos grupos poblacionales bene"&amp;"ficiados.")</f>
        <v>Preparar la información sobre el cumplimiento de metas (plan de acción, POAI) de los programas, proyectos y servicios implementados, con sus respectivos indicadores, verificando la calidad de la misma y asociándola a los diversos grupos poblacionales beneficiados.</v>
      </c>
      <c r="D254" s="10" t="str">
        <f ca="1">IFERROR(__xludf.DUMMYFUNCTION("""COMPUTED_VALUE"""),"Seguimiento trimestral del Plan de Acción Municipal por parte de la Secretaría de Planeación con cada una de las entidades de la Adminsitración Municipal")</f>
        <v>Seguimiento trimestral del Plan de Acción Municipal por parte de la Secretaría de Planeación con cada una de las entidades de la Adminsitración Municipal</v>
      </c>
      <c r="E254" s="10" t="str">
        <f ca="1">IFERROR(__xludf.DUMMYFUNCTION("""COMPUTED_VALUE"""),"No. de seguimmiento realizados /sobre No. de seguimientos programado")</f>
        <v>No. de seguimmiento realizados /sobre No. de seguimientos programado</v>
      </c>
      <c r="F254" s="11">
        <f ca="1">IFERROR(__xludf.DUMMYFUNCTION("""COMPUTED_VALUE"""),44564)</f>
        <v>44564</v>
      </c>
      <c r="G254" s="11">
        <f ca="1">IFERROR(__xludf.DUMMYFUNCTION("""COMPUTED_VALUE"""),44925)</f>
        <v>44925</v>
      </c>
      <c r="H254" s="10" t="str">
        <f ca="1">IFERROR(__xludf.DUMMYFUNCTION("""COMPUTED_VALUE"""),"Subsecretario de Planificacion Socioeconomica")</f>
        <v>Subsecretario de Planificacion Socioeconomica</v>
      </c>
      <c r="I254" s="12">
        <f ca="1">IFERROR(__xludf.DUMMYFUNCTION("""COMPUTED_VALUE"""),0.25)</f>
        <v>0.25</v>
      </c>
      <c r="J254" s="10" t="str">
        <f ca="1">IFERROR(__xludf.DUMMYFUNCTION("""COMPUTED_VALUE"""),"Se encuentra publicado el informe de seguimiento al plan de acción del plan de desarrollo cuarto trimestre del 2021 con fecha del 01 de marzo de año 2022 en el siguiente link https://www.pereira.gov.co/documentos/823/2021/ Informe de ejecución del POAI a "&amp;"diciembre 31 de 2021 publicado con fecha del 02 de marzo del 2022 en el siguiente link: https://www.pereira.gov.co/documentos/823/2021/")</f>
        <v>Se encuentra publicado el informe de seguimiento al plan de acción del plan de desarrollo cuarto trimestre del 2021 con fecha del 01 de marzo de año 2022 en el siguiente link https://www.pereira.gov.co/documentos/823/2021/ Informe de ejecución del POAI a diciembre 31 de 2021 publicado con fecha del 02 de marzo del 2022 en el siguiente link: https://www.pereira.gov.co/documentos/823/2021/</v>
      </c>
      <c r="K254" s="11">
        <f ca="1">IFERROR(__xludf.DUMMYFUNCTION("""COMPUTED_VALUE"""),44651)</f>
        <v>44651</v>
      </c>
      <c r="L254" s="12">
        <f ca="1">IFERROR(__xludf.DUMMYFUNCTION("""COMPUTED_VALUE"""),0.25)</f>
        <v>0.25</v>
      </c>
      <c r="M254" s="10" t="str">
        <f ca="1">IFERROR(__xludf.DUMMYFUNCTION("""COMPUTED_VALUE"""),"Se encuentra publicado el informe de seguimiento al plan de acción del plan de desarrollo primer trimestre del 2022 en el siguiente link https://www.pereira.gov.co/documentos/1027/2022/ Ejecución del POAI a marzo 31 de 2022 publicado con fecha del 02 de m"&amp;"arzo del 2022 en el siguiente link https://www.pereira.gov.co/documentos/1027/2022")</f>
        <v>Se encuentra publicado el informe de seguimiento al plan de acción del plan de desarrollo primer trimestre del 2022 en el siguiente link https://www.pereira.gov.co/documentos/1027/2022/ Ejecución del POAI a marzo 31 de 2022 publicado con fecha del 02 de marzo del 2022 en el siguiente link https://www.pereira.gov.co/documentos/1027/2022</v>
      </c>
      <c r="N254" s="11">
        <f ca="1">IFERROR(__xludf.DUMMYFUNCTION("""COMPUTED_VALUE"""),44742)</f>
        <v>44742</v>
      </c>
      <c r="O254" s="12">
        <f ca="1">IFERROR(__xludf.DUMMYFUNCTION("""COMPUTED_VALUE"""),0.5)</f>
        <v>0.5</v>
      </c>
      <c r="P254" s="10" t="str">
        <f ca="1">IFERROR(__xludf.DUMMYFUNCTION("""COMPUTED_VALUE"""),"Se encuentra publicado el informe de seguimiento al plan de acción del plan de desarrollo segundo trimestre del 2022 en el siguiente link https://www.pereira.gov.co/documentos/1027/2022/ Ejecución del POAI a junio 30 de 2022 publicado con fecha del 20 de "&amp;"septiembre del 2022 en el siguiente link https://www.pereira.gov.co/documentos/1027/2022/")</f>
        <v>Se encuentra publicado el informe de seguimiento al plan de acción del plan de desarrollo segundo trimestre del 2022 en el siguiente link https://www.pereira.gov.co/documentos/1027/2022/ Ejecución del POAI a junio 30 de 2022 publicado con fecha del 20 de septiembre del 2022 en el siguiente link https://www.pereira.gov.co/documentos/1027/2022/</v>
      </c>
      <c r="Q254" s="11">
        <f ca="1">IFERROR(__xludf.DUMMYFUNCTION("""COMPUTED_VALUE"""),44834)</f>
        <v>44834</v>
      </c>
      <c r="R254" s="12">
        <f ca="1">IFERROR(__xludf.DUMMYFUNCTION("""COMPUTED_VALUE"""),0.96)</f>
        <v>0.96</v>
      </c>
      <c r="S254" s="10" t="str">
        <f ca="1">IFERROR(__xludf.DUMMYFUNCTION("""COMPUTED_VALUE"""),"Se encuentra publicado el informe de seguimiento al plan de acción del plan de desarrollo  en el siguiente link https://www.pereira.gov.co/documentos/1027/2022/  Informe de ejecución del POAI en el siguiente https://www.pereira.gov.co/documentos/1027/2022"&amp;"/ ")</f>
        <v xml:space="preserve">Se encuentra publicado el informe de seguimiento al plan de acción del plan de desarrollo  en el siguiente link https://www.pereira.gov.co/documentos/1027/2022/  Informe de ejecución del POAI en el siguiente https://www.pereira.gov.co/documentos/1027/2022/ </v>
      </c>
      <c r="T254" s="11">
        <f ca="1">IFERROR(__xludf.DUMMYFUNCTION("""COMPUTED_VALUE"""),44926)</f>
        <v>44926</v>
      </c>
      <c r="U254" s="10"/>
    </row>
    <row r="255" spans="1:21" ht="409.5" x14ac:dyDescent="0.2">
      <c r="A255" s="10" t="str">
        <f ca="1">IFERROR(__xludf.DUMMYFUNCTION("""COMPUTED_VALUE"""),"Gestión con valores para resultados")</f>
        <v>Gestión con valores para resultados</v>
      </c>
      <c r="B255" s="10" t="str">
        <f ca="1">IFERROR(__xludf.DUMMYFUNCTION("""COMPUTED_VALUE"""),"Participación Ciudadana en la Gestión Pública - Rendición de Cuentas")</f>
        <v>Participación Ciudadana en la Gestión Pública - Rendición de Cuentas</v>
      </c>
      <c r="C255" s="10" t="str">
        <f ca="1">IFERROR(__xludf.DUMMYFUNCTION("""COMPUTED_VALUE"""),"Preparar la información sobre contratación (Procesos Contractuales y Gestión contractual) asociada a los programas, proyectos y servicios implementados, verificando la calidad de la misma y a los diversos grupos poblacionales beneficiados.")</f>
        <v>Preparar la información sobre contratación (Procesos Contractuales y Gestión contractual) asociada a los programas, proyectos y servicios implementados, verificando la calidad de la misma y a los diversos grupos poblacionales beneficiados.</v>
      </c>
      <c r="D255" s="10" t="str">
        <f ca="1">IFERROR(__xludf.DUMMYFUNCTION("""COMPUTED_VALUE"""),"La informacion es requerida y revisada y colgada previamente en la paguina web.")</f>
        <v>La informacion es requerida y revisada y colgada previamente en la paguina web.</v>
      </c>
      <c r="E255" s="10" t="str">
        <f ca="1">IFERROR(__xludf.DUMMYFUNCTION("""COMPUTED_VALUE"""),"Informacion tecnica y presupuestal detallada")</f>
        <v>Informacion tecnica y presupuestal detallada</v>
      </c>
      <c r="F255" s="11">
        <f ca="1">IFERROR(__xludf.DUMMYFUNCTION("""COMPUTED_VALUE"""),44564)</f>
        <v>44564</v>
      </c>
      <c r="G255" s="11">
        <f ca="1">IFERROR(__xludf.DUMMYFUNCTION("""COMPUTED_VALUE"""),44925)</f>
        <v>44925</v>
      </c>
      <c r="H255" s="10" t="str">
        <f ca="1">IFERROR(__xludf.DUMMYFUNCTION("""COMPUTED_VALUE"""),"Subsecretario de Planificacion Socioeconomica")</f>
        <v>Subsecretario de Planificacion Socioeconomica</v>
      </c>
      <c r="I255" s="12">
        <f ca="1">IFERROR(__xludf.DUMMYFUNCTION("""COMPUTED_VALUE"""),0.25)</f>
        <v>0.25</v>
      </c>
      <c r="J255" s="10" t="str">
        <f ca="1">IFERROR(__xludf.DUMMYFUNCTION("""COMPUTED_VALUE"""),"10 obras ejecutadas por parte de la Empresa de Desarrollo Urbano de Pereira (EDUP), del Contrato 3418 de 15 de junio de 2021 de los proyectos de Presupuesto Participativo 2019. Expedición de CDP por el valor de $170.000.000 para el apoyo adminstrativo y l"&amp;"ogístico del Consejo Territorial de Planeación del Municipio de Pereira.")</f>
        <v>10 obras ejecutadas por parte de la Empresa de Desarrollo Urbano de Pereira (EDUP), del Contrato 3418 de 15 de junio de 2021 de los proyectos de Presupuesto Participativo 2019. Expedición de CDP por el valor de $170.000.000 para el apoyo adminstrativo y logístico del Consejo Territorial de Planeación del Municipio de Pereira.</v>
      </c>
      <c r="K255" s="11">
        <f ca="1">IFERROR(__xludf.DUMMYFUNCTION("""COMPUTED_VALUE"""),44651)</f>
        <v>44651</v>
      </c>
      <c r="L255" s="12">
        <f ca="1">IFERROR(__xludf.DUMMYFUNCTION("""COMPUTED_VALUE"""),0.25)</f>
        <v>0.25</v>
      </c>
      <c r="M255" s="10" t="str">
        <f ca="1">IFERROR(__xludf.DUMMYFUNCTION("""COMPUTED_VALUE"""),"Avance en procesos de mínima cuantía para presupuesto participativo de: Kit escolares,mobiliario, electrodomésticos. Elaboración contrato interadministrativo para el apoyo administrativo y logístico del CTP.")</f>
        <v>Avance en procesos de mínima cuantía para presupuesto participativo de: Kit escolares,mobiliario, electrodomésticos. Elaboración contrato interadministrativo para el apoyo administrativo y logístico del CTP.</v>
      </c>
      <c r="N255" s="11">
        <f ca="1">IFERROR(__xludf.DUMMYFUNCTION("""COMPUTED_VALUE"""),44742)</f>
        <v>44742</v>
      </c>
      <c r="O255" s="12">
        <f ca="1">IFERROR(__xludf.DUMMYFUNCTION("""COMPUTED_VALUE"""),0.5)</f>
        <v>0.5</v>
      </c>
      <c r="P255" s="10" t="str">
        <f ca="1">IFERROR(__xludf.DUMMYFUNCTION("""COMPUTED_VALUE"""),"Celebración de contrato interadministrativo entre la Alcaldía y SUEJE para el apoyo administrativo y logístico del Consejo Territorial de Planeación. Convenio con la EDUP de las obras pendientes de presupuesto participativo vigencia 2018 y 2019. Se realiz"&amp;"aron mejoramientos de vivienda, mínimas de kit escolares y mobiliario. Traslado de recursos a la Secretaría de Deportes para uniformes y equipos de audio.")</f>
        <v>Celebración de contrato interadministrativo entre la Alcaldía y SUEJE para el apoyo administrativo y logístico del Consejo Territorial de Planeación. Convenio con la EDUP de las obras pendientes de presupuesto participativo vigencia 2018 y 2019. Se realizaron mejoramientos de vivienda, mínimas de kit escolares y mobiliario. Traslado de recursos a la Secretaría de Deportes para uniformes y equipos de audio.</v>
      </c>
      <c r="Q255" s="11">
        <f ca="1">IFERROR(__xludf.DUMMYFUNCTION("""COMPUTED_VALUE"""),44834)</f>
        <v>44834</v>
      </c>
      <c r="R255" s="12">
        <f ca="1">IFERROR(__xludf.DUMMYFUNCTION("""COMPUTED_VALUE"""),0.9)</f>
        <v>0.9</v>
      </c>
      <c r="S255" s="10" t="str">
        <f ca="1">IFERROR(__xludf.DUMMYFUNCTION("""COMPUTED_VALUE"""),"Se realizaron once (11) adiciones presupuestales a contratos de prestación de servicios, con un valor total de $ 12.759.355.")</f>
        <v>Se realizaron once (11) adiciones presupuestales a contratos de prestación de servicios, con un valor total de $ 12.759.355.</v>
      </c>
      <c r="T255" s="11">
        <f ca="1">IFERROR(__xludf.DUMMYFUNCTION("""COMPUTED_VALUE"""),44926)</f>
        <v>44926</v>
      </c>
      <c r="U255" s="10"/>
    </row>
    <row r="256" spans="1:21" ht="409.5" x14ac:dyDescent="0.2">
      <c r="A256" s="10" t="str">
        <f ca="1">IFERROR(__xludf.DUMMYFUNCTION("""COMPUTED_VALUE"""),"Gestión con valores para resultados")</f>
        <v>Gestión con valores para resultados</v>
      </c>
      <c r="B256" s="10" t="str">
        <f ca="1">IFERROR(__xludf.DUMMYFUNCTION("""COMPUTED_VALUE"""),"Participación Ciudadana en la Gestión Pública - Rendición de Cuentas")</f>
        <v>Participación Ciudadana en la Gestión Pública - Rendición de Cuentas</v>
      </c>
      <c r="C256" s="10" t="str">
        <f ca="1">IFERROR(__xludf.DUMMYFUNCTION("""COMPUTED_VALUE"""),"Identificar la información que podría ser generada y analizada por los grupos de interés de manera colaborativa.")</f>
        <v>Identificar la información que podría ser generada y analizada por los grupos de interés de manera colaborativa.</v>
      </c>
      <c r="D256" s="10" t="str">
        <f ca="1">IFERROR(__xludf.DUMMYFUNCTION("""COMPUTED_VALUE"""),"Actualizaciones de los Planes de Desarrollo de comunas y corregimientos del Municipio de Pereira")</f>
        <v>Actualizaciones de los Planes de Desarrollo de comunas y corregimientos del Municipio de Pereira</v>
      </c>
      <c r="E256" s="10" t="str">
        <f ca="1">IFERROR(__xludf.DUMMYFUNCTION("""COMPUTED_VALUE"""),"31 planes de desarrollo actualizados de comunas y corregimientos")</f>
        <v>31 planes de desarrollo actualizados de comunas y corregimientos</v>
      </c>
      <c r="F256" s="11">
        <f ca="1">IFERROR(__xludf.DUMMYFUNCTION("""COMPUTED_VALUE"""),44564)</f>
        <v>44564</v>
      </c>
      <c r="G256" s="11">
        <f ca="1">IFERROR(__xludf.DUMMYFUNCTION("""COMPUTED_VALUE"""),44925)</f>
        <v>44925</v>
      </c>
      <c r="H256" s="10" t="str">
        <f ca="1">IFERROR(__xludf.DUMMYFUNCTION("""COMPUTED_VALUE"""),"Subsecretario de Planificacion Socioeconomica")</f>
        <v>Subsecretario de Planificacion Socioeconomica</v>
      </c>
      <c r="I256" s="12">
        <f ca="1">IFERROR(__xludf.DUMMYFUNCTION("""COMPUTED_VALUE"""),0.3)</f>
        <v>0.3</v>
      </c>
      <c r="J256" s="10" t="str">
        <f ca="1">IFERROR(__xludf.DUMMYFUNCTION("""COMPUTED_VALUE"""),"Revisión diagnóstico: Comuna Bostón y Corregimiento Tribunas. Movilización Social: Corregimiento Estrella - La Palmilla y Cerritos. Mesas Sectoriales: Corregimiento Estrella - La Palmilla y Cerritos. Presentación propuesta Plan de Desarrollo: Corregimient"&amp;"o de Arabia y Comuna San Nicolás")</f>
        <v>Revisión diagnóstico: Comuna Bostón y Corregimiento Tribunas. Movilización Social: Corregimiento Estrella - La Palmilla y Cerritos. Mesas Sectoriales: Corregimiento Estrella - La Palmilla y Cerritos. Presentación propuesta Plan de Desarrollo: Corregimiento de Arabia y Comuna San Nicolás</v>
      </c>
      <c r="K256" s="11">
        <f ca="1">IFERROR(__xludf.DUMMYFUNCTION("""COMPUTED_VALUE"""),44925)</f>
        <v>44925</v>
      </c>
      <c r="L256" s="12">
        <f ca="1">IFERROR(__xludf.DUMMYFUNCTION("""COMPUTED_VALUE"""),0.3)</f>
        <v>0.3</v>
      </c>
      <c r="M256" s="10" t="str">
        <f ca="1">IFERROR(__xludf.DUMMYFUNCTION("""COMPUTED_VALUE"""),"Revisión diagnóstico: Comuna Bostón y Corregimiento Tribunas. Movilización Social: Corregimiento Estrella - La Palmilla y Cerritos. Mesas Sectoriales: Corregimiento Estrella - La Palmilla y Cerritos. Presentación propuesta Plan de Desarrollo: Corregimient"&amp;"o de Arabia y Comuna San Nicolás")</f>
        <v>Revisión diagnóstico: Comuna Bostón y Corregimiento Tribunas. Movilización Social: Corregimiento Estrella - La Palmilla y Cerritos. Mesas Sectoriales: Corregimiento Estrella - La Palmilla y Cerritos. Presentación propuesta Plan de Desarrollo: Corregimiento de Arabia y Comuna San Nicolás</v>
      </c>
      <c r="N256" s="11">
        <f ca="1">IFERROR(__xludf.DUMMYFUNCTION("""COMPUTED_VALUE"""),44742)</f>
        <v>44742</v>
      </c>
      <c r="O256" s="12">
        <f ca="1">IFERROR(__xludf.DUMMYFUNCTION("""COMPUTED_VALUE"""),0.5)</f>
        <v>0.5</v>
      </c>
      <c r="P256" s="10" t="str">
        <f ca="1">IFERROR(__xludf.DUMMYFUNCTION("""COMPUTED_VALUE"""),"Capacitaciones en las Comuna del Otún y en el Corregimiento de Combia Alta en el Sistema de Planeación Participativa y Democrática, Planes de Desarrollo de Comunas y Corregimientos y Plan de Desarrollo Municipal. Socialización en inversión focalizada Comu"&amp;"na Centro, Jardín, Villavicencio y San Joaquín, Junta Central Coordinadora.Socialización líneas estratégicas Plan de Desarrollo Comuna del Café y Corregimiento de Puerto Caldas, priorización matriz de necesidades corregimiento La Bella, Socialización ajus"&amp;"tes de líneas estratégicas Comuna Consotá, Mesas Sectoriales Comuna Centro, San Joaquín, Villavicencio, Villasantana, Corregimiento de la Florida y Caimalito")</f>
        <v>Capacitaciones en las Comuna del Otún y en el Corregimiento de Combia Alta en el Sistema de Planeación Participativa y Democrática, Planes de Desarrollo de Comunas y Corregimientos y Plan de Desarrollo Municipal. Socialización en inversión focalizada Comuna Centro, Jardín, Villavicencio y San Joaquín, Junta Central Coordinadora.Socialización líneas estratégicas Plan de Desarrollo Comuna del Café y Corregimiento de Puerto Caldas, priorización matriz de necesidades corregimiento La Bella, Socialización ajustes de líneas estratégicas Comuna Consotá, Mesas Sectoriales Comuna Centro, San Joaquín, Villavicencio, Villasantana, Corregimiento de la Florida y Caimalito</v>
      </c>
      <c r="Q256" s="11">
        <f ca="1">IFERROR(__xludf.DUMMYFUNCTION("""COMPUTED_VALUE"""),44834)</f>
        <v>44834</v>
      </c>
      <c r="R256" s="12">
        <f ca="1">IFERROR(__xludf.DUMMYFUNCTION("""COMPUTED_VALUE"""),0.85)</f>
        <v>0.85</v>
      </c>
      <c r="S256" s="10" t="str">
        <f ca="1">IFERROR(__xludf.DUMMYFUNCTION("""COMPUTED_VALUE"""),"Capacitación en marco legal y jurisprudencial de los acuerdos en: JAL´s El Oso, Perla del Otún, San Joaquín, Consota, Centro, Río Otún, Boston, Puerto Caldas, Cerritos, Caimalito, Combia Alta, Combia Baja, Del Café, Estrella – La Palmilla, Morelia, San Ni"&amp;"colás, Jardín, El Poblado, Arabia, Altagracia, Tribunas, La Bella, El Rocío, Ediles en la ESAP. Planes de Desarrollo en Formulación: La Florida, Villasantana, Perla del Otún, El Oso y Combia Alta.
")</f>
        <v xml:space="preserve">Capacitación en marco legal y jurisprudencial de los acuerdos en: JAL´s El Oso, Perla del Otún, San Joaquín, Consota, Centro, Río Otún, Boston, Puerto Caldas, Cerritos, Caimalito, Combia Alta, Combia Baja, Del Café, Estrella – La Palmilla, Morelia, San Nicolás, Jardín, El Poblado, Arabia, Altagracia, Tribunas, La Bella, El Rocío, Ediles en la ESAP. Planes de Desarrollo en Formulación: La Florida, Villasantana, Perla del Otún, El Oso y Combia Alta.
</v>
      </c>
      <c r="T256" s="11">
        <f ca="1">IFERROR(__xludf.DUMMYFUNCTION("""COMPUTED_VALUE"""),44926)</f>
        <v>44926</v>
      </c>
      <c r="U256" s="10"/>
    </row>
    <row r="257" spans="1:21" ht="306" x14ac:dyDescent="0.2">
      <c r="A257" s="10" t="str">
        <f ca="1">IFERROR(__xludf.DUMMYFUNCTION("""COMPUTED_VALUE"""),"Gestión con valores para resultados")</f>
        <v>Gestión con valores para resultados</v>
      </c>
      <c r="B257" s="10" t="str">
        <f ca="1">IFERROR(__xludf.DUMMYFUNCTION("""COMPUTED_VALUE"""),"Participación Ciudadana en la Gestión Pública - Rendición de Cuentas")</f>
        <v>Participación Ciudadana en la Gestión Pública - Rendición de Cuentas</v>
      </c>
      <c r="C257" s="10" t="str">
        <f ca="1">IFERROR(__xludf.DUMMYFUNCTION("""COMPUTED_VALUE"""),"Analizar los resultados obtenidos en la implementación de la estrategia de rendición de cuentas, con base en la consolidación de los formatos internos de reporte aportados por las áreas misionales y de apoyo, para: 1. Identificar el número de espacios de "&amp;"diálogo en los que se rindió cuentas
 2. Grupos de valor involucrados
 3. Fases del ciclo sobre los que se rindió cuentas.
 4. Evaluación y recomendaciones de cada espacio de rendición de cuentas.")</f>
        <v>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v>
      </c>
      <c r="D257" s="10" t="str">
        <f ca="1">IFERROR(__xludf.DUMMYFUNCTION("""COMPUTED_VALUE"""),"informe de evaluacion")</f>
        <v>informe de evaluacion</v>
      </c>
      <c r="E257" s="10" t="str">
        <f ca="1">IFERROR(__xludf.DUMMYFUNCTION("""COMPUTED_VALUE"""),"1 informe de evaluacion")</f>
        <v>1 informe de evaluacion</v>
      </c>
      <c r="F257" s="11">
        <f ca="1">IFERROR(__xludf.DUMMYFUNCTION("""COMPUTED_VALUE"""),44564)</f>
        <v>44564</v>
      </c>
      <c r="G257" s="11">
        <f ca="1">IFERROR(__xludf.DUMMYFUNCTION("""COMPUTED_VALUE"""),44925)</f>
        <v>44925</v>
      </c>
      <c r="H257" s="10" t="str">
        <f ca="1">IFERROR(__xludf.DUMMYFUNCTION("""COMPUTED_VALUE"""),"Subsecretario de Planificacion Socioeconomica")</f>
        <v>Subsecretario de Planificacion Socioeconomica</v>
      </c>
      <c r="I257" s="12">
        <f ca="1">IFERROR(__xludf.DUMMYFUNCTION("""COMPUTED_VALUE"""),0.2)</f>
        <v>0.2</v>
      </c>
      <c r="J257" s="10" t="str">
        <f ca="1">IFERROR(__xludf.DUMMYFUNCTION("""COMPUTED_VALUE"""),"Informe de evaluación de rendición de cuentas 2021 publicado en la página web en el siguiente link: https://www.pereira.gov.co/documentos/361/informes-a-la-ciudadania/")</f>
        <v>Informe de evaluación de rendición de cuentas 2021 publicado en la página web en el siguiente link: https://www.pereira.gov.co/documentos/361/informes-a-la-ciudadania/</v>
      </c>
      <c r="K257" s="11">
        <f ca="1">IFERROR(__xludf.DUMMYFUNCTION("""COMPUTED_VALUE"""),44651)</f>
        <v>44651</v>
      </c>
      <c r="L257" s="12">
        <f ca="1">IFERROR(__xludf.DUMMYFUNCTION("""COMPUTED_VALUE"""),0.2)</f>
        <v>0.2</v>
      </c>
      <c r="M257" s="10" t="str">
        <f ca="1">IFERROR(__xludf.DUMMYFUNCTION("""COMPUTED_VALUE"""),"Informe de evaluación de rendición de cuentas 2021 publicado en la página web en el siguiente link: https://www.pereira.gov.co/documentos/361/informes-a-la-ciudadania/")</f>
        <v>Informe de evaluación de rendición de cuentas 2021 publicado en la página web en el siguiente link: https://www.pereira.gov.co/documentos/361/informes-a-la-ciudadania/</v>
      </c>
      <c r="N257" s="11">
        <f ca="1">IFERROR(__xludf.DUMMYFUNCTION("""COMPUTED_VALUE"""),44742)</f>
        <v>44742</v>
      </c>
      <c r="O257" s="12">
        <f ca="1">IFERROR(__xludf.DUMMYFUNCTION("""COMPUTED_VALUE"""),0.3)</f>
        <v>0.3</v>
      </c>
      <c r="P257" s="10" t="str">
        <f ca="1">IFERROR(__xludf.DUMMYFUNCTION("""COMPUTED_VALUE"""),"Informe de evaluación de rendición de cuentas 2021 publicado en la página web en el siguiente link: https://www.pereira.gov.co/documentos/361/informes-a-la-ciudadania/")</f>
        <v>Informe de evaluación de rendición de cuentas 2021 publicado en la página web en el siguiente link: https://www.pereira.gov.co/documentos/361/informes-a-la-ciudadania/</v>
      </c>
      <c r="Q257" s="11">
        <f ca="1">IFERROR(__xludf.DUMMYFUNCTION("""COMPUTED_VALUE"""),44834)</f>
        <v>44834</v>
      </c>
      <c r="R257" s="12">
        <f ca="1">IFERROR(__xludf.DUMMYFUNCTION("""COMPUTED_VALUE"""),0.85)</f>
        <v>0.85</v>
      </c>
      <c r="S257" s="10" t="str">
        <f ca="1">IFERROR(__xludf.DUMMYFUNCTION("""COMPUTED_VALUE"""),"Informe de evaluación de rendición de cuentas 2021 avances 2022 publicado en la página web en el siguiente link:https://www.pereira.gov.co/documentos/1052/rendicion-de-cuentas-2021-2022/")</f>
        <v>Informe de evaluación de rendición de cuentas 2021 avances 2022 publicado en la página web en el siguiente link:https://www.pereira.gov.co/documentos/1052/rendicion-de-cuentas-2021-2022/</v>
      </c>
      <c r="T257" s="11"/>
      <c r="U257" s="10"/>
    </row>
    <row r="258" spans="1:21" ht="178.5" x14ac:dyDescent="0.2">
      <c r="A258" s="10" t="str">
        <f ca="1">IFERROR(__xludf.DUMMYFUNCTION("""COMPUTED_VALUE"""),"Gestión con valores para resultados")</f>
        <v>Gestión con valores para resultados</v>
      </c>
      <c r="B258" s="10" t="str">
        <f ca="1">IFERROR(__xludf.DUMMYFUNCTION("""COMPUTED_VALUE"""),"Participación Ciudadana en la Gestión Pública - Rendición de Cuentas")</f>
        <v>Participación Ciudadana en la Gestión Pública - Rendición de Cuentas</v>
      </c>
      <c r="C258" s="10" t="str">
        <f ca="1">IFERROR(__xludf.DUMMYFUNCTION("""COMPUTED_VALUE"""),"Preparar la información sobre Impactos de la Gestión (Cambios en el sector o en la población beneficiaria) a través de los programas, proyectos y servicios implementados, con sus respectivos indicadores y verificando la calidad de la misma.")</f>
        <v>Preparar la información sobre Impactos de la Gestión (Cambios en el sector o en la población beneficiaria) a través de los programas, proyectos y servicios implementados, con sus respectivos indicadores y verificando la calidad de la misma.</v>
      </c>
      <c r="D258" s="10" t="str">
        <f ca="1">IFERROR(__xludf.DUMMYFUNCTION("""COMPUTED_VALUE"""),"informe de evaluacion")</f>
        <v>informe de evaluacion</v>
      </c>
      <c r="E258" s="10" t="str">
        <f ca="1">IFERROR(__xludf.DUMMYFUNCTION("""COMPUTED_VALUE"""),"1 informe de evaluacion")</f>
        <v>1 informe de evaluacion</v>
      </c>
      <c r="F258" s="11">
        <f ca="1">IFERROR(__xludf.DUMMYFUNCTION("""COMPUTED_VALUE"""),44564)</f>
        <v>44564</v>
      </c>
      <c r="G258" s="11">
        <f ca="1">IFERROR(__xludf.DUMMYFUNCTION("""COMPUTED_VALUE"""),44925)</f>
        <v>44925</v>
      </c>
      <c r="H258" s="10" t="str">
        <f ca="1">IFERROR(__xludf.DUMMYFUNCTION("""COMPUTED_VALUE"""),"Subsecretario de Planificacion Socioeconomica")</f>
        <v>Subsecretario de Planificacion Socioeconomica</v>
      </c>
      <c r="I258" s="12"/>
      <c r="J258" s="10"/>
      <c r="K258" s="11"/>
      <c r="L258" s="12">
        <f ca="1">IFERROR(__xludf.DUMMYFUNCTION("""COMPUTED_VALUE"""),0)</f>
        <v>0</v>
      </c>
      <c r="M258" s="10"/>
      <c r="N258" s="11">
        <f ca="1">IFERROR(__xludf.DUMMYFUNCTION("""COMPUTED_VALUE"""),44742)</f>
        <v>44742</v>
      </c>
      <c r="O258" s="12">
        <f ca="1">IFERROR(__xludf.DUMMYFUNCTION("""COMPUTED_VALUE"""),1)</f>
        <v>1</v>
      </c>
      <c r="P258" s="14" t="str">
        <f ca="1">IFERROR(__xludf.DUMMYFUNCTION("""COMPUTED_VALUE"""),"https://drive.google.com/file/d/14FmxacefvD0IYgmlVQiickvrTeQGGDUi/view?usp=sharing")</f>
        <v>https://drive.google.com/file/d/14FmxacefvD0IYgmlVQiickvrTeQGGDUi/view?usp=sharing</v>
      </c>
      <c r="Q258" s="11">
        <f ca="1">IFERROR(__xludf.DUMMYFUNCTION("""COMPUTED_VALUE"""),44834)</f>
        <v>44834</v>
      </c>
      <c r="R258" s="12"/>
      <c r="S258" s="10"/>
      <c r="T258" s="11"/>
      <c r="U258" s="10"/>
    </row>
    <row r="259" spans="1:21" ht="127.5" x14ac:dyDescent="0.2">
      <c r="A259" s="10" t="str">
        <f ca="1">IFERROR(__xludf.DUMMYFUNCTION("""COMPUTED_VALUE"""),"Gestión con valores para resultados")</f>
        <v>Gestión con valores para resultados</v>
      </c>
      <c r="B259" s="10" t="str">
        <f ca="1">IFERROR(__xludf.DUMMYFUNCTION("""COMPUTED_VALUE"""),"Participación Ciudadana en la Gestión Pública - Rendición de Cuentas")</f>
        <v>Participación Ciudadana en la Gestión Pública - Rendición de Cuentas</v>
      </c>
      <c r="C259" s="10" t="str">
        <f ca="1">IFERROR(__xludf.DUMMYFUNCTION("""COMPUTED_VALUE"""),"Preparar la información sobre acciones de mejoramiento de la entidad (Planes de mejora) asociados a la gestión realizada, verificando la calidad de la misma.")</f>
        <v>Preparar la información sobre acciones de mejoramiento de la entidad (Planes de mejora) asociados a la gestión realizada, verificando la calidad de la misma.</v>
      </c>
      <c r="D259" s="10" t="str">
        <f ca="1">IFERROR(__xludf.DUMMYFUNCTION("""COMPUTED_VALUE"""),"informe de evaluacion")</f>
        <v>informe de evaluacion</v>
      </c>
      <c r="E259" s="10" t="str">
        <f ca="1">IFERROR(__xludf.DUMMYFUNCTION("""COMPUTED_VALUE"""),"1 informe de evaluacion")</f>
        <v>1 informe de evaluacion</v>
      </c>
      <c r="F259" s="11">
        <f ca="1">IFERROR(__xludf.DUMMYFUNCTION("""COMPUTED_VALUE"""),44564)</f>
        <v>44564</v>
      </c>
      <c r="G259" s="11">
        <f ca="1">IFERROR(__xludf.DUMMYFUNCTION("""COMPUTED_VALUE"""),44925)</f>
        <v>44925</v>
      </c>
      <c r="H259" s="10" t="str">
        <f ca="1">IFERROR(__xludf.DUMMYFUNCTION("""COMPUTED_VALUE"""),"Subsecretario de Planificacion Socioeconomica")</f>
        <v>Subsecretario de Planificacion Socioeconomica</v>
      </c>
      <c r="I259" s="12"/>
      <c r="J259" s="10"/>
      <c r="K259" s="11"/>
      <c r="L259" s="12">
        <f ca="1">IFERROR(__xludf.DUMMYFUNCTION("""COMPUTED_VALUE"""),0)</f>
        <v>0</v>
      </c>
      <c r="M259" s="10"/>
      <c r="N259" s="11">
        <f ca="1">IFERROR(__xludf.DUMMYFUNCTION("""COMPUTED_VALUE"""),44742)</f>
        <v>44742</v>
      </c>
      <c r="O259" s="12">
        <f ca="1">IFERROR(__xludf.DUMMYFUNCTION("""COMPUTED_VALUE"""),0.9)</f>
        <v>0.9</v>
      </c>
      <c r="P259" s="10" t="str">
        <f ca="1">IFERROR(__xludf.DUMMYFUNCTION("""COMPUTED_VALUE"""),"En este momento se esta realizando la evaluación al plan
 de desarrollo segundo trimestre 2022")</f>
        <v>En este momento se esta realizando la evaluación al plan
 de desarrollo segundo trimestre 2022</v>
      </c>
      <c r="Q259" s="11">
        <f ca="1">IFERROR(__xludf.DUMMYFUNCTION("""COMPUTED_VALUE"""),44834)</f>
        <v>44834</v>
      </c>
      <c r="R259" s="12"/>
      <c r="S259" s="10"/>
      <c r="T259" s="11"/>
      <c r="U259" s="10"/>
    </row>
    <row r="260" spans="1:21" ht="229.5" x14ac:dyDescent="0.2">
      <c r="A260" s="10" t="str">
        <f ca="1">IFERROR(__xludf.DUMMYFUNCTION("""COMPUTED_VALUE"""),"Gestión con valores para resultados")</f>
        <v>Gestión con valores para resultados</v>
      </c>
      <c r="B260" s="10" t="str">
        <f ca="1">IFERROR(__xludf.DUMMYFUNCTION("""COMPUTED_VALUE"""),"Participación Ciudadana en la Gestión Pública - Rendición de Cuentas")</f>
        <v>Participación Ciudadana en la Gestión Pública - Rendición de Cuentas</v>
      </c>
      <c r="C260" s="10" t="str">
        <f ca="1">IFERROR(__xludf.DUMMYFUNCTION("""COMPUTED_VALUE"""),"Realizar respuestas escrita , en el termino de 15 dias a las preguntas de los ciuddanos formuladas en el marco del proceso de rendicion de cuentas y publicarlas en la pagina web o en los medios de difucion oficiales de las entidades")</f>
        <v>Realizar respuestas escrita , en el termino de 15 dias a las preguntas de los ciuddanos formuladas en el marco del proceso de rendicion de cuentas y publicarlas en la pagina web o en los medios de difucion oficiales de las entidades</v>
      </c>
      <c r="D260" s="10" t="str">
        <f ca="1">IFERROR(__xludf.DUMMYFUNCTION("""COMPUTED_VALUE"""),"Numero de solicitudes")</f>
        <v>Numero de solicitudes</v>
      </c>
      <c r="E260" s="10" t="str">
        <f ca="1">IFERROR(__xludf.DUMMYFUNCTION("""COMPUTED_VALUE"""),"Solicitud  diligeniadas / 100%")</f>
        <v>Solicitud  diligeniadas / 100%</v>
      </c>
      <c r="F260" s="11">
        <f ca="1">IFERROR(__xludf.DUMMYFUNCTION("""COMPUTED_VALUE"""),44564)</f>
        <v>44564</v>
      </c>
      <c r="G260" s="11">
        <f ca="1">IFERROR(__xludf.DUMMYFUNCTION("""COMPUTED_VALUE"""),44925)</f>
        <v>44925</v>
      </c>
      <c r="H260" s="10" t="str">
        <f ca="1">IFERROR(__xludf.DUMMYFUNCTION("""COMPUTED_VALUE"""),"Profesional Especializado")</f>
        <v>Profesional Especializado</v>
      </c>
      <c r="I260" s="12">
        <f ca="1">IFERROR(__xludf.DUMMYFUNCTION("""COMPUTED_VALUE"""),0)</f>
        <v>0</v>
      </c>
      <c r="J260" s="10" t="str">
        <f ca="1">IFERROR(__xludf.DUMMYFUNCTION("""COMPUTED_VALUE"""),"No esta actividad se realiza en el cuarto trimestre de 2022")</f>
        <v>No esta actividad se realiza en el cuarto trimestre de 2022</v>
      </c>
      <c r="K260" s="11">
        <f ca="1">IFERROR(__xludf.DUMMYFUNCTION("""COMPUTED_VALUE"""),44651)</f>
        <v>44651</v>
      </c>
      <c r="L260" s="12">
        <f ca="1">IFERROR(__xludf.DUMMYFUNCTION("""COMPUTED_VALUE"""),0)</f>
        <v>0</v>
      </c>
      <c r="M260" s="10" t="str">
        <f ca="1">IFERROR(__xludf.DUMMYFUNCTION("""COMPUTED_VALUE"""),"No esta actividad se realiza en el cuarto trimestre de 2022")</f>
        <v>No esta actividad se realiza en el cuarto trimestre de 2022</v>
      </c>
      <c r="N260" s="11">
        <f ca="1">IFERROR(__xludf.DUMMYFUNCTION("""COMPUTED_VALUE"""),44742)</f>
        <v>44742</v>
      </c>
      <c r="O260" s="12">
        <f ca="1">IFERROR(__xludf.DUMMYFUNCTION("""COMPUTED_VALUE"""),0)</f>
        <v>0</v>
      </c>
      <c r="P260" s="10" t="str">
        <f ca="1">IFERROR(__xludf.DUMMYFUNCTION("""COMPUTED_VALUE"""),"No esta actividad se realiza en el cuarto trimestre de 2022")</f>
        <v>No esta actividad se realiza en el cuarto trimestre de 2022</v>
      </c>
      <c r="Q260" s="11">
        <f ca="1">IFERROR(__xludf.DUMMYFUNCTION("""COMPUTED_VALUE"""),44834)</f>
        <v>44834</v>
      </c>
      <c r="R260" s="12">
        <f ca="1">IFERROR(__xludf.DUMMYFUNCTION("""COMPUTED_VALUE"""),1)</f>
        <v>1</v>
      </c>
      <c r="S260" s="10" t="str">
        <f ca="1">IFERROR(__xludf.DUMMYFUNCTION("""COMPUTED_VALUE"""),"Se emitieron las respuestas a los ciudadanos via correo electrónico, de todas las inquietudes formuladas dentro de la etapa de urnas fisicas y virtuales del proceso de rendición de cuentas 2022.")</f>
        <v>Se emitieron las respuestas a los ciudadanos via correo electrónico, de todas las inquietudes formuladas dentro de la etapa de urnas fisicas y virtuales del proceso de rendición de cuentas 2022.</v>
      </c>
      <c r="T260" s="11">
        <f ca="1">IFERROR(__xludf.DUMMYFUNCTION("""COMPUTED_VALUE"""),44901)</f>
        <v>44901</v>
      </c>
      <c r="U260" s="10"/>
    </row>
    <row r="261" spans="1:21" ht="409.5" x14ac:dyDescent="0.2">
      <c r="A261" s="10" t="str">
        <f ca="1">IFERROR(__xludf.DUMMYFUNCTION("""COMPUTED_VALUE"""),"Evaluación de Resultados")</f>
        <v>Evaluación de Resultados</v>
      </c>
      <c r="B261" s="10" t="str">
        <f ca="1">IFERROR(__xludf.DUMMYFUNCTION("""COMPUTED_VALUE"""),"Seguimiento y evaluacion del desempeño institucional")</f>
        <v>Seguimiento y evaluacion del desempeño institucional</v>
      </c>
      <c r="C261" s="10" t="str">
        <f ca="1">IFERROR(__xludf.DUMMYFUNCTION("""COMPUTED_VALUE"""),"Identificacion de las estrategias o metodologias en la Alcaldia de Pereira, para la documentacion del seguimiento y la evaluacion, mejora Continua, Mecanismos efectivos de seguimiento y control y enfoque en la satisfaccion ciudadana.")</f>
        <v>Identificacion de las estrategias o metodologias en la Alcaldia de Pereira, para la documentacion del seguimiento y la evaluacion, mejora Continua, Mecanismos efectivos de seguimiento y control y enfoque en la satisfaccion ciudadana.</v>
      </c>
      <c r="D261" s="10" t="str">
        <f ca="1">IFERROR(__xludf.DUMMYFUNCTION("""COMPUTED_VALUE"""),"Mesas de trabajo mensuales, con las areas involucradas: Rendicion de cuentas, Sistemas integrados de gestion, Servivio al ciudadano, Control interno y Secretaria de Planeacion Municipal.")</f>
        <v>Mesas de trabajo mensuales, con las areas involucradas: Rendicion de cuentas, Sistemas integrados de gestion, Servivio al ciudadano, Control interno y Secretaria de Planeacion Municipal.</v>
      </c>
      <c r="E261" s="10" t="str">
        <f ca="1">IFERROR(__xludf.DUMMYFUNCTION("""COMPUTED_VALUE"""),"Matriz de seguimiento a los indicadores y planes de accion o mejoramiento establecidos para las metodologias o estrategias que tienen puntajes bajos en los Indices de desempeño Institucional.")</f>
        <v>Matriz de seguimiento a los indicadores y planes de accion o mejoramiento establecidos para las metodologias o estrategias que tienen puntajes bajos en los Indices de desempeño Institucional.</v>
      </c>
      <c r="F261" s="11">
        <f ca="1">IFERROR(__xludf.DUMMYFUNCTION("""COMPUTED_VALUE"""),44774)</f>
        <v>44774</v>
      </c>
      <c r="G261" s="11">
        <f ca="1">IFERROR(__xludf.DUMMYFUNCTION("""COMPUTED_VALUE"""),44925)</f>
        <v>44925</v>
      </c>
      <c r="H261" s="10" t="str">
        <f ca="1">IFERROR(__xludf.DUMMYFUNCTION("""COMPUTED_VALUE"""),"Secretaria de Planeacion Municipal")</f>
        <v>Secretaria de Planeacion Municipal</v>
      </c>
      <c r="I261" s="12"/>
      <c r="J261" s="10"/>
      <c r="K261" s="11"/>
      <c r="L261" s="12">
        <f ca="1">IFERROR(__xludf.DUMMYFUNCTION("""COMPUTED_VALUE"""),0)</f>
        <v>0</v>
      </c>
      <c r="M261" s="10"/>
      <c r="N261" s="11">
        <f ca="1">IFERROR(__xludf.DUMMYFUNCTION("""COMPUTED_VALUE"""),44742)</f>
        <v>44742</v>
      </c>
      <c r="O261" s="12">
        <f ca="1">IFERROR(__xludf.DUMMYFUNCTION("""COMPUTED_VALUE"""),0.7)</f>
        <v>0.7</v>
      </c>
      <c r="P261" s="10" t="str">
        <f ca="1">IFERROR(__xludf.DUMMYFUNCTION("""COMPUTED_VALUE"""),"Se realizo mesa de trabajo SIG con los lideres de las politicas MIPG, instancia donde se socializo la identificacion de  la transversalidad de las actividades y recomendaciones del FURAG, mesa realizada el dia 29 de septiembre de 2022, convocada mediante "&amp;"SAIA 53205.
Se proyecto SAIAs a las areas de Control Interno, Sistemas Integrados de Gestion, Secretaria TICs , Servicio al ciudadano, con la finalidad de realizar mesas de trabajo tendientes a revisar las recomendaciones por cada una de las areas involuc"&amp;"radas en la transversalidad.
Se realizo el tercer corte trimestral a los planeas de accion del Plan de Desarrollo Municipal:
https://www.pereira.gov.co/loader.php?lServicio=Tools2&amp;lTipo=descargas&amp;lFuncion=descargar&amp;idFile=64729 
https://www.pereira.gov.co"&amp;"/loader.php?lServicio=Tools2&amp;lTipo=descargas&amp;lFuncion=descargar&amp;idFile=64730 
, Se realizo corte y seguimiento al Plan de Ordenamiento Territorial POT Expediente Municipal.
https://sites.google.com/view/expedientemunicipal/seguimiento
En el seguimiento d"&amp;"e la Planeacion institucional, contamos con lel seguimiento y publicacion trimestral a los planes  de accion de las politicas MIPG, informes publicados en el boton MIPG pagina web de la Alcaldia de Pereira.")</f>
        <v>Se realizo mesa de trabajo SIG con los lideres de las politicas MIPG, instancia donde se socializo la identificacion de  la transversalidad de las actividades y recomendaciones del FURAG, mesa realizada el dia 29 de septiembre de 2022, convocada mediante SAIA 53205.
Se proyecto SAIAs a las areas de Control Interno, Sistemas Integrados de Gestion, Secretaria TICs , Servicio al ciudadano, con la finalidad de realizar mesas de trabajo tendientes a revisar las recomendaciones por cada una de las areas involucradas en la transversalidad.
Se realizo el tercer corte trimestral a los planeas de accion del Plan de Desarrollo Municipal:
https://www.pereira.gov.co/loader.php?lServicio=Tools2&amp;lTipo=descargas&amp;lFuncion=descargar&amp;idFile=64729 
https://www.pereira.gov.co/loader.php?lServicio=Tools2&amp;lTipo=descargas&amp;lFuncion=descargar&amp;idFile=64730 
, Se realizo corte y seguimiento al Plan de Ordenamiento Territorial POT Expediente Municipal.
https://sites.google.com/view/expedientemunicipal/seguimiento
En el seguimiento de la Planeacion institucional, contamos con lel seguimiento y publicacion trimestral a los planes  de accion de las politicas MIPG, informes publicados en el boton MIPG pagina web de la Alcaldia de Pereira.</v>
      </c>
      <c r="Q261" s="11">
        <f ca="1">IFERROR(__xludf.DUMMYFUNCTION("""COMPUTED_VALUE"""),44834)</f>
        <v>44834</v>
      </c>
      <c r="R261" s="12">
        <f ca="1">IFERROR(__xludf.DUMMYFUNCTION("""COMPUTED_VALUE"""),1)</f>
        <v>1</v>
      </c>
      <c r="S261" s="10" t="str">
        <f ca="1">IFERROR(__xludf.DUMMYFUNCTION("""COMPUTED_VALUE"""),"Se realizo reunion con la oficina Asesora de Control Interno: Dr Luis Guillermo Garcia ramirez, Jose fernando aguirre, Secretaria TICs, Profesional especializada Martha Lucia Giraldo, Sistemas Integrados de Gestion, contratista Jhon fredy Bedoya, oficina "&amp;"de Servicio al ciudadano, profesional Especializada Dra Diana Rodriguez, reuniones en las cuales se identificaron las problematicas y se acordo que el reporte al FURAG, se realizara en forma conjunta, para dar respuestas a las preguntas que enmarcan las r"&amp;"ecomendaciones del FURAG- DAFP.")</f>
        <v>Se realizo reunion con la oficina Asesora de Control Interno: Dr Luis Guillermo Garcia ramirez, Jose fernando aguirre, Secretaria TICs, Profesional especializada Martha Lucia Giraldo, Sistemas Integrados de Gestion, contratista Jhon fredy Bedoya, oficina de Servicio al ciudadano, profesional Especializada Dra Diana Rodriguez, reuniones en las cuales se identificaron las problematicas y se acordo que el reporte al FURAG, se realizara en forma conjunta, para dar respuestas a las preguntas que enmarcan las recomendaciones del FURAG- DAFP.</v>
      </c>
      <c r="T261" s="11">
        <f ca="1">IFERROR(__xludf.DUMMYFUNCTION("""COMPUTED_VALUE"""),44925)</f>
        <v>44925</v>
      </c>
      <c r="U261" s="10"/>
    </row>
    <row r="262" spans="1:21" ht="409.5" x14ac:dyDescent="0.2">
      <c r="A262" s="10" t="str">
        <f ca="1">IFERROR(__xludf.DUMMYFUNCTION("""COMPUTED_VALUE"""),"Evaluación de Resultados")</f>
        <v>Evaluación de Resultados</v>
      </c>
      <c r="B262" s="10" t="str">
        <f ca="1">IFERROR(__xludf.DUMMYFUNCTION("""COMPUTED_VALUE"""),"Seguimiento y evaluacion del desempeño institucional")</f>
        <v>Seguimiento y evaluacion del desempeño institucional</v>
      </c>
      <c r="C262" s="10" t="str">
        <f ca="1">IFERROR(__xludf.DUMMYFUNCTION("""COMPUTED_VALUE"""),"Definir indicadores para medir la eficiencia y eficacia del sistema de gestión de seguridad y privacidad de la información (MSPI) de la entidad, aprobarlos mediante el comité de gestión y desempeño institucional, implementarlos y actualizarlos mediante un"&amp;" proceso de mejora continua.")</f>
        <v>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v>
      </c>
      <c r="D262" s="10" t="str">
        <f ca="1">IFERROR(__xludf.DUMMYFUNCTION("""COMPUTED_VALUE"""),"Indicadores para la medición del Modelo de Seguridad y Privacidad de la Información - MSPI definidos e implementados")</f>
        <v>Indicadores para la medición del Modelo de Seguridad y Privacidad de la Información - MSPI definidos e implementados</v>
      </c>
      <c r="E262" s="10" t="str">
        <f ca="1">IFERROR(__xludf.DUMMYFUNCTION("""COMPUTED_VALUE"""),"Indicadores del MSPI implementados / Indicadores del MSPI definidos")</f>
        <v>Indicadores del MSPI implementados / Indicadores del MSPI definidos</v>
      </c>
      <c r="F262" s="11">
        <f ca="1">IFERROR(__xludf.DUMMYFUNCTION("""COMPUTED_VALUE"""),44562)</f>
        <v>44562</v>
      </c>
      <c r="G262" s="11">
        <f ca="1">IFERROR(__xludf.DUMMYFUNCTION("""COMPUTED_VALUE"""),44925)</f>
        <v>44925</v>
      </c>
      <c r="H262" s="10" t="str">
        <f ca="1">IFERROR(__xludf.DUMMYFUNCTION("""COMPUTED_VALUE"""),"Secretario de Tecnologias de la Informacion y las Comunicaciones TICs")</f>
        <v>Secretario de Tecnologias de la Informacion y las Comunicaciones TICs</v>
      </c>
      <c r="I262" s="12">
        <f ca="1">IFERROR(__xludf.DUMMYFUNCTION("""COMPUTED_VALUE"""),0.25)</f>
        <v>0.25</v>
      </c>
      <c r="J262" s="10" t="str">
        <f ca="1">IFERROR(__xludf.DUMMYFUNCTION("""COMPUTED_VALUE"""),"Indicadores del MSPI, definidos en el Plan de tratamiento de riesgos de seguridad y privacidad de la información https://www.pereira.gov.co/loader.php?lServicio=Tools2&amp;lTipo=descargas&amp;lFuncion=descargar&amp;idFile=42615")</f>
        <v>Indicadores del MSPI, definidos en el Plan de tratamiento de riesgos de seguridad y privacidad de la información https://www.pereira.gov.co/loader.php?lServicio=Tools2&amp;lTipo=descargas&amp;lFuncion=descargar&amp;idFile=42615</v>
      </c>
      <c r="K262" s="11">
        <f ca="1">IFERROR(__xludf.DUMMYFUNCTION("""COMPUTED_VALUE"""),44650)</f>
        <v>44650</v>
      </c>
      <c r="L262" s="12">
        <f ca="1">IFERROR(__xludf.DUMMYFUNCTION("""COMPUTED_VALUE"""),0.5)</f>
        <v>0.5</v>
      </c>
      <c r="M262" s="10" t="str">
        <f ca="1">IFERROR(__xludf.DUMMYFUNCTION("""COMPUTED_VALUE"""),"Indicadores del MSPI, definidos en el Plan de tratamiento de riesgos de seguridad y privacidad de la información https://www.pereira.gov.co/loader.php?lServicio=Tools2&amp;lTipo=descargas&amp;lFuncion=descargar&amp;idFile=42615
 Seguimiento a indicadores del Plan de "&amp;"tratamiento de riesgos de seguridad y privacidad de la información, correspondientes al primer cuatrimestre de 2022, en custodia de la Secretaría de Tecnologías de la Información y la Comunicación")</f>
        <v>Indicadores del MSPI, definidos en el Plan de tratamiento de riesgos de seguridad y privacidad de la información https://www.pereira.gov.co/loader.php?lServicio=Tools2&amp;lTipo=descargas&amp;lFuncion=descargar&amp;idFile=42615
 Seguimiento a indicadores del Plan de tratamiento de riesgos de seguridad y privacidad de la información, correspondientes al primer cuatrimestre de 2022, en custodia de la Secretaría de Tecnologías de la Información y la Comunicación</v>
      </c>
      <c r="N262" s="11">
        <f ca="1">IFERROR(__xludf.DUMMYFUNCTION("""COMPUTED_VALUE"""),44742)</f>
        <v>44742</v>
      </c>
      <c r="O262" s="12">
        <f ca="1">IFERROR(__xludf.DUMMYFUNCTION("""COMPUTED_VALUE"""),0.75)</f>
        <v>0.75</v>
      </c>
      <c r="P262" s="10" t="str">
        <f ca="1">IFERROR(__xludf.DUMMYFUNCTION("""COMPUTED_VALUE"""),"""Indicadores del MSPI, definidos en el Plan de tratamiento de riesgos de seguridad y privacidad de la información https://www.pereira.gov.co/loader.php?lServicio=Tools2&amp;lTipo=descargas&amp;lFuncion=descargar&amp;idFile=42615
 Seguimiento a indicadores del Plan d"&amp;"e tratamiento de riesgos de seguridad y privacidad de la información, correspondientes al segundo cuatrimestre de 2022, en custodia de la Secretaría de Tecnologías de la Información y la Comunicación""")</f>
        <v>"Indicadores del MSPI, definidos en el Plan de tratamiento de riesgos de seguridad y privacidad de la información https://www.pereira.gov.co/loader.php?lServicio=Tools2&amp;lTipo=descargas&amp;lFuncion=descargar&amp;idFile=42615
 Seguimiento a indicadores del Plan de tratamiento de riesgos de seguridad y privacidad de la información, correspondientes al segundo cuatrimestre de 2022, en custodia de la Secretaría de Tecnologías de la Información y la Comunicación"</v>
      </c>
      <c r="Q262" s="11">
        <f ca="1">IFERROR(__xludf.DUMMYFUNCTION("""COMPUTED_VALUE"""),44834)</f>
        <v>44834</v>
      </c>
      <c r="R262" s="12">
        <f ca="1">IFERROR(__xludf.DUMMYFUNCTION("""COMPUTED_VALUE"""),1)</f>
        <v>1</v>
      </c>
      <c r="S262" s="10" t="str">
        <f ca="1">IFERROR(__xludf.DUMMYFUNCTION("""COMPUTED_VALUE"""),"Indicadores del MSPI, definidos en el Plan de tratamiento de riesgos de seguridad y privacidad de la información https://www.pereira.gov.co/loader.php?lServicio=Tools2&amp;lTipo=descargas&amp;lFuncion=descargar&amp;idFile=42615
  Seguimiento a indicadores del Plan de"&amp;" tratamiento de riesgos de seguridad y privacidad de la información, correspondientes al tercer cuatrimestre de 2022, en custodia de la Secretaría de Tecnologías de la Información y la Comunicación")</f>
        <v>Indicadores del MSPI, definidos en el Plan de tratamiento de riesgos de seguridad y privacidad de la información https://www.pereira.gov.co/loader.php?lServicio=Tools2&amp;lTipo=descargas&amp;lFuncion=descargar&amp;idFile=42615
  Seguimiento a indicadores del Plan de tratamiento de riesgos de seguridad y privacidad de la información, correspondientes al tercer cuatrimestre de 2022, en custodia de la Secretaría de Tecnologías de la Información y la Comunicación</v>
      </c>
      <c r="T262" s="11">
        <f ca="1">IFERROR(__xludf.DUMMYFUNCTION("""COMPUTED_VALUE"""),44925)</f>
        <v>44925</v>
      </c>
      <c r="U262" s="10"/>
    </row>
    <row r="263" spans="1:21" ht="409.5" x14ac:dyDescent="0.2">
      <c r="A263" s="10" t="str">
        <f ca="1">IFERROR(__xludf.DUMMYFUNCTION("""COMPUTED_VALUE"""),"Evaluación de Resultados")</f>
        <v>Evaluación de Resultados</v>
      </c>
      <c r="B263" s="10" t="str">
        <f ca="1">IFERROR(__xludf.DUMMYFUNCTION("""COMPUTED_VALUE"""),"Seguimiento y evaluacion del desempeño institucional")</f>
        <v>Seguimiento y evaluacion del desempeño institucional</v>
      </c>
      <c r="C263" s="10" t="str">
        <f ca="1">IFERROR(__xludf.DUMMYFUNCTION("""COMPUTED_VALUE"""),"Dar a conocer a los grupos de valor los beneficios que obtuvieron por efecto de la racionalización, mediante las acciones de racionalización de trámites /otros procedimientos administrativos implementados por la entidad.")</f>
        <v>Dar a conocer a los grupos de valor los beneficios que obtuvieron por efecto de la racionalización, mediante las acciones de racionalización de trámites /otros procedimientos administrativos implementados por la entidad.</v>
      </c>
      <c r="D263" s="10" t="str">
        <f ca="1">IFERROR(__xludf.DUMMYFUNCTION("""COMPUTED_VALUE"""),"Difusión de información sobre la mejora de trámites, en el o los Procesos incluidos en los Ciclos de Racionalización")</f>
        <v>Difusión de información sobre la mejora de trámites, en el o los Procesos incluidos en los Ciclos de Racionalización</v>
      </c>
      <c r="E263" s="10" t="str">
        <f ca="1">IFERROR(__xludf.DUMMYFUNCTION("""COMPUTED_VALUE"""),"100% de campañas de difusión sobre mejoras en Trámites publicadas")</f>
        <v>100% de campañas de difusión sobre mejoras en Trámites publicadas</v>
      </c>
      <c r="F263" s="11">
        <f ca="1">IFERROR(__xludf.DUMMYFUNCTION("""COMPUTED_VALUE"""),44562)</f>
        <v>44562</v>
      </c>
      <c r="G263" s="11">
        <f ca="1">IFERROR(__xludf.DUMMYFUNCTION("""COMPUTED_VALUE"""),44926)</f>
        <v>44926</v>
      </c>
      <c r="H263" s="10" t="str">
        <f ca="1">IFERROR(__xludf.DUMMYFUNCTION("""COMPUTED_VALUE"""),"Secretario de Tecnologias de la Informacion y las Comunicaciones TICs")</f>
        <v>Secretario de Tecnologias de la Informacion y las Comunicaciones TICs</v>
      </c>
      <c r="I263" s="12">
        <f ca="1">IFERROR(__xludf.DUMMYFUNCTION("""COMPUTED_VALUE"""),0.25)</f>
        <v>0.25</v>
      </c>
      <c r="J263" s="10" t="str">
        <f ca="1">IFERROR(__xludf.DUMMYFUNCTION("""COMPUTED_VALUE"""),"Las noticias relacionadas con los trámites de la entidad, se publican a través de la sede electrónica y redes sociales de la Alcaldía de Pereira. 
 https://www.pereira.gov.co/publicaciones/noticias/?tema=2 https://www.facebook.com/AlcaldiaDePereira
 htt"&amp;"ps://instagram.com/alcaldiadepereira?utm_medium=copy_link")</f>
        <v>Las noticias relacionadas con los trámites de la entidad, se publican a través de la sede electrónica y redes sociales de la Alcaldía de Pereira. 
 https://www.pereira.gov.co/publicaciones/noticias/?tema=2 https://www.facebook.com/AlcaldiaDePereira
 https://instagram.com/alcaldiadepereira?utm_medium=copy_link</v>
      </c>
      <c r="K263" s="11">
        <f ca="1">IFERROR(__xludf.DUMMYFUNCTION("""COMPUTED_VALUE"""),44650)</f>
        <v>44650</v>
      </c>
      <c r="L263" s="12">
        <f ca="1">IFERROR(__xludf.DUMMYFUNCTION("""COMPUTED_VALUE"""),0.66)</f>
        <v>0.66</v>
      </c>
      <c r="M263" s="10" t="str">
        <f ca="1">IFERROR(__xludf.DUMMYFUNCTION("""COMPUTED_VALUE"""),"Se realiza difusión de los trámites disponibles en la entidad, publicados en la sede electrónica
 Trámites en Línea
 Boletines: https://us16.campaign-archive.com/?e=[UNIQID]&amp;u=4deb89a7cfea9f8fc30c4382f&amp;id=6db65c8104
 Redes sociales: https://www.instagra"&amp;"m.com/p/CcDnXc1lDlD/?igshid=YmMyMTA2M2Y%3D
 Video Trámites en Línea
 Redes sociales: https://www.facebook.com/AlcaldiaDePereira/videos/347266120833644
 https://www.instagram.com/p/CbvWGVejRtn/")</f>
        <v>Se realiza difusión de los trámites disponibles en la entidad, publicados en la sede electrónica
 Trámites en Línea
 Boletines: https://us16.campaign-archive.com/?e=[UNIQID]&amp;u=4deb89a7cfea9f8fc30c4382f&amp;id=6db65c8104
 Redes sociales: https://www.instagram.com/p/CcDnXc1lDlD/?igshid=YmMyMTA2M2Y%3D
 Video Trámites en Línea
 Redes sociales: https://www.facebook.com/AlcaldiaDePereira/videos/347266120833644
 https://www.instagram.com/p/CbvWGVejRtn/</v>
      </c>
      <c r="N263" s="11">
        <f ca="1">IFERROR(__xludf.DUMMYFUNCTION("""COMPUTED_VALUE"""),44742)</f>
        <v>44742</v>
      </c>
      <c r="O263" s="12">
        <f ca="1">IFERROR(__xludf.DUMMYFUNCTION("""COMPUTED_VALUE"""),0.75)</f>
        <v>0.75</v>
      </c>
      <c r="P263" s="10" t="str">
        <f ca="1">IFERROR(__xludf.DUMMYFUNCTION("""COMPUTED_VALUE"""),"Se realiza difusión de los trámites disponibles en la entidad, publicados en la sede electrónica
  Trámites en Línea
  Boletines: https://us16.campaign-archive.com/?e=[UNIQID]&amp;u=4deb89a7cfea9f8fc30c4382f&amp;id=6db65c8104
  Redes sociales: https://www.inst"&amp;"agram.com/p/CcDnXc1lDlD/?igshid=YmMyMTA2M2Y%3D
  Video Trámites en Línea
  Redes sociales: https://www.facebook.com/AlcaldiaDePereira/videos/347266120833644
  https://www.instagram.com/p/CbvWGVejRtn/")</f>
        <v>Se realiza difusión de los trámites disponibles en la entidad, publicados en la sede electrónica
  Trámites en Línea
  Boletines: https://us16.campaign-archive.com/?e=[UNIQID]&amp;u=4deb89a7cfea9f8fc30c4382f&amp;id=6db65c8104
  Redes sociales: https://www.instagram.com/p/CcDnXc1lDlD/?igshid=YmMyMTA2M2Y%3D
  Video Trámites en Línea
  Redes sociales: https://www.facebook.com/AlcaldiaDePereira/videos/347266120833644
  https://www.instagram.com/p/CbvWGVejRtn/</v>
      </c>
      <c r="Q263" s="11">
        <f ca="1">IFERROR(__xludf.DUMMYFUNCTION("""COMPUTED_VALUE"""),44834)</f>
        <v>44834</v>
      </c>
      <c r="R263" s="12">
        <f ca="1">IFERROR(__xludf.DUMMYFUNCTION("""COMPUTED_VALUE"""),1)</f>
        <v>1</v>
      </c>
      <c r="S263" s="10" t="str">
        <f ca="1">IFERROR(__xludf.DUMMYFUNCTION("""COMPUTED_VALUE"""),"Se realiza difusión de los trámites disponibles en la entidad, publicados en la sede electrónica
  Trámites en Línea
  Boletines: https://us16.campaign-archive.com/?e=[UNIQID]&amp;u=4deb89a7cfea9f8fc30c4382f&amp;id=6db65c8104
  Redes sociales: https://www.inst"&amp;"agram.com/p/CcDnXc1lDlD/?igshid=YmMyMTA2M2Y%3D
  Video Trámites en Línea
  Redes sociales: https://www.facebook.com/AlcaldiaDePereira/videos/347266120833644
  https://www.instagram.com/p/CbvWGVejRtn/")</f>
        <v>Se realiza difusión de los trámites disponibles en la entidad, publicados en la sede electrónica
  Trámites en Línea
  Boletines: https://us16.campaign-archive.com/?e=[UNIQID]&amp;u=4deb89a7cfea9f8fc30c4382f&amp;id=6db65c8104
  Redes sociales: https://www.instagram.com/p/CcDnXc1lDlD/?igshid=YmMyMTA2M2Y%3D
  Video Trámites en Línea
  Redes sociales: https://www.facebook.com/AlcaldiaDePereira/videos/347266120833644
  https://www.instagram.com/p/CbvWGVejRtn/</v>
      </c>
      <c r="T263" s="11">
        <f ca="1">IFERROR(__xludf.DUMMYFUNCTION("""COMPUTED_VALUE"""),44925)</f>
        <v>44925</v>
      </c>
      <c r="U263" s="10"/>
    </row>
    <row r="264" spans="1:21" ht="409.5" x14ac:dyDescent="0.2">
      <c r="A264" s="10" t="str">
        <f ca="1">IFERROR(__xludf.DUMMYFUNCTION("""COMPUTED_VALUE"""),"Gestión con valores para resultados")</f>
        <v>Gestión con valores para resultados</v>
      </c>
      <c r="B264" s="10" t="str">
        <f ca="1">IFERROR(__xludf.DUMMYFUNCTION("""COMPUTED_VALUE"""),"Servicio al Ciudadano")</f>
        <v>Servicio al Ciudadano</v>
      </c>
      <c r="C264" s="10" t="str">
        <f ca="1">IFERROR(__xludf.DUMMYFUNCTION("""COMPUTED_VALUE"""),"La entidad ha realizado caracterización de ciudadanos, usuarios o grupos de interés atendidos")</f>
        <v>La entidad ha realizado caracterización de ciudadanos, usuarios o grupos de interés atendidos</v>
      </c>
      <c r="D264" s="10" t="str">
        <f ca="1">IFERROR(__xludf.DUMMYFUNCTION("""COMPUTED_VALUE"""),"caracterización de usuarios que interponen PQRSD ante la entidad.")</f>
        <v>caracterización de usuarios que interponen PQRSD ante la entidad.</v>
      </c>
      <c r="E264" s="10" t="str">
        <f ca="1">IFERROR(__xludf.DUMMYFUNCTION("""COMPUTED_VALUE"""),"grupos caracterizados")</f>
        <v>grupos caracterizados</v>
      </c>
      <c r="F264" s="11">
        <f ca="1">IFERROR(__xludf.DUMMYFUNCTION("""COMPUTED_VALUE"""),44564)</f>
        <v>44564</v>
      </c>
      <c r="G264" s="11">
        <f ca="1">IFERROR(__xludf.DUMMYFUNCTION("""COMPUTED_VALUE"""),44926)</f>
        <v>44926</v>
      </c>
      <c r="H264" s="10" t="str">
        <f ca="1">IFERROR(__xludf.DUMMYFUNCTION("""COMPUTED_VALUE"""),"Profesional Especializado Servicio al Cliente")</f>
        <v>Profesional Especializado Servicio al Cliente</v>
      </c>
      <c r="I264" s="12">
        <f ca="1">IFERROR(__xludf.DUMMYFUNCTION("""COMPUTED_VALUE"""),0)</f>
        <v>0</v>
      </c>
      <c r="J264" s="10" t="str">
        <f ca="1">IFERROR(__xludf.DUMMYFUNCTION("""COMPUTED_VALUE"""),"Se realizará la caracterización de usuarios que interponen PQRSD ante la entidad de manera semestral")</f>
        <v>Se realizará la caracterización de usuarios que interponen PQRSD ante la entidad de manera semestral</v>
      </c>
      <c r="K264" s="11">
        <f ca="1">IFERROR(__xludf.DUMMYFUNCTION("""COMPUTED_VALUE"""),44650)</f>
        <v>44650</v>
      </c>
      <c r="L264" s="12">
        <f ca="1">IFERROR(__xludf.DUMMYFUNCTION("""COMPUTED_VALUE"""),0.5)</f>
        <v>0.5</v>
      </c>
      <c r="M264" s="10" t="str">
        <f ca="1">IFERROR(__xludf.DUMMYFUNCTION("""COMPUTED_VALUE"""),"Se realizará la caracterización de usuarios que interponen PQRSD ante la entidad de manera semestral /
 Caracterizacion de usuarios que interponen PQRSD para el primer semestre del 2022 en proceso de elaboracion. - Evidencias: Carpeta virtual de la Oficin"&amp;"a de Servicio al Cliente.")</f>
        <v>Se realizará la caracterización de usuarios que interponen PQRSD ante la entidad de manera semestral /
 Caracterizacion de usuarios que interponen PQRSD para el primer semestre del 2022 en proceso de elaboracion. - Evidencias: Carpeta virtual de la Oficina de Servicio al Cliente.</v>
      </c>
      <c r="N264" s="11">
        <f ca="1">IFERROR(__xludf.DUMMYFUNCTION("""COMPUTED_VALUE"""),44754)</f>
        <v>44754</v>
      </c>
      <c r="O264" s="12">
        <f ca="1">IFERROR(__xludf.DUMMYFUNCTION("""COMPUTED_VALUE"""),0.5)</f>
        <v>0.5</v>
      </c>
      <c r="P264" s="10" t="str">
        <f ca="1">IFERROR(__xludf.DUMMYFUNCTION("""COMPUTED_VALUE"""),"caracterización de usuarios PQRSD del primer semestre del 2022, en proceso de elaboración y a la espera de la actualización del sistema de información SAIA para extraer información necesaria para culminar con la caracterización.")</f>
        <v>caracterización de usuarios PQRSD del primer semestre del 2022, en proceso de elaboración y a la espera de la actualización del sistema de información SAIA para extraer información necesaria para culminar con la caracterización.</v>
      </c>
      <c r="Q264" s="11">
        <f ca="1">IFERROR(__xludf.DUMMYFUNCTION("""COMPUTED_VALUE"""),44852)</f>
        <v>44852</v>
      </c>
      <c r="R264" s="12">
        <f ca="1">IFERROR(__xludf.DUMMYFUNCTION("""COMPUTED_VALUE"""),1)</f>
        <v>1</v>
      </c>
      <c r="S264" s="10" t="str">
        <f ca="1">IFERROR(__xludf.DUMMYFUNCTION("""COMPUTED_VALUE"""),"Base de datos atención a usuarios población vulnerable con corte a diciembre de 2022 desarrollo social y politico Evidencias 4 trimestre: SAIA No. 71332-2022.
En el cuarto trimestre se han antendido en el Servicio de Atención a la comunidad 3345 personas"&amp;".   se evidencia  en el registro de atención a ciudadanos identificados por comuna y corregimiento
EVIDENCIAS 4TO TRIMESTRE: SAIA No. 70945-2022.
Caracterización de usuarios y grupos de interés elaborada desde la Secretaría de Tecnologías de la Informaci"&amp;"ón y la Comunicación:
 SAIA / Módulo SIG / Promoción del Desarrollo Económico / Tecnología de la Información y la Comunicación / Otros documentos de calidad /
 1.PDE_Caracterizacion_De_Usuarios_Ges_De_Recursos_Parte2_V1.pdf
 1.PDE_Caracterizacion_De"&amp;"_Usuarios_Ges_Desarrollo_Social_ Parte1_V1.pdf
 1.PDE_Caracterizacion_Usuarios_Ges_Desarrollo_Economico_Parte3_V1.pdf
 1.PDE_Caracterizacion_Usuarios_Ges_Estrategica_Parte4_V1.pdf
EVIDENCIA 4TO TRIMESTRE: https://docs.google.com/spreadsheets/d/1HdgL_"&amp;"mbspDy4vaaKsO-BhxlbN47CZpea/edit#gid=771887390
La entidad realiza la caracterización de  los ciudadanos, usuarios o grupos de interés a través de dos procesos principales (Reducción y Manejo)
Desde el subproceso de Reducción se encuentra el área educati"&amp;"va.
AREA EDUCATIVA
Se realizan caracterizaciones a través de las capacitaciones a Instituciones Educativas, Juntas de Acción Comunal, juntas administradoras locales, entidades públicas y privadas y comunidad en general del Municipio de Pereira.
Desde e"&amp;"l subproceso de Manejo se encuentra el área psicosocial.
AREA PSICOSOCIAL
Se realiza caracterización a los ciudadanos que han tenido una emergencia o que se encuentren en una condición de Riesgo dentro del municipio de Pereira.
Estas caracterizaciones "&amp;"se realizan cada vez que sean solicitadas, es importantes resaltar que, este corte es proyectado a diciembre 31 de 2022.
EVIDENCIA 4TO TRIMESTRE: https://docs.google.com/spreadsheets/d/1i3BPk2ySraRYRJoWw_6L1wq5QMyknDCu/edit#gid=1930826566")</f>
        <v>Base de datos atención a usuarios población vulnerable con corte a diciembre de 2022 desarrollo social y politico Evidencias 4 trimestre: SAIA No. 71332-2022.
En el cuarto trimestre se han antendido en el Servicio de Atención a la comunidad 3345 personas.   se evidencia  en el registro de atención a ciudadanos identificados por comuna y corregimiento
EVIDENCIAS 4TO TRIMESTRE: SAIA No. 70945-2022.
Caracterización de usuarios y grupos de interés elaborada desde la Secretaría de Tecnologías de la Información y la Comunicación:
 SAIA / Módulo SIG / Promoción del Desarrollo Económico / Tecnología de la Información y la Comunicación / Otros documentos de calidad /
 1.PDE_Caracterizacion_De_Usuarios_Ges_De_Recursos_Parte2_V1.pdf
 1.PDE_Caracterizacion_De_Usuarios_Ges_Desarrollo_Social_ Parte1_V1.pdf
 1.PDE_Caracterizacion_Usuarios_Ges_Desarrollo_Economico_Parte3_V1.pdf
 1.PDE_Caracterizacion_Usuarios_Ges_Estrategica_Parte4_V1.pdf
EVIDENCIA 4TO TRIMESTRE: https://docs.google.com/spreadsheets/d/1HdgL_mbspDy4vaaKsO-BhxlbN47CZpea/edit#gid=771887390
La entidad realiza la caracterización de  los ciudadanos, usuarios o grupos de interés a través de dos procesos principales (Reducción y Manejo)
Desde el subproceso de Reducción se encuentra el área educativa.
AREA EDUCATIVA
Se realizan caracterizaciones a través de las capacitaciones a Instituciones Educativas, Juntas de Acción Comunal, juntas administradoras locales, entidades públicas y privadas y comunidad en general del Municipio de Pereira.
Desde el subproceso de Manejo se encuentra el área psicosocial.
AREA PSICOSOCIAL
Se realiza caracterización a los ciudadanos que han tenido una emergencia o que se encuentren en una condición de Riesgo dentro del municipio de Pereira.
Estas caracterizaciones se realizan cada vez que sean solicitadas, es importantes resaltar que, este corte es proyectado a diciembre 31 de 2022.
EVIDENCIA 4TO TRIMESTRE: https://docs.google.com/spreadsheets/d/1i3BPk2ySraRYRJoWw_6L1wq5QMyknDCu/edit#gid=1930826566</v>
      </c>
      <c r="T264" s="11">
        <f ca="1">IFERROR(__xludf.DUMMYFUNCTION("""COMPUTED_VALUE"""),44902)</f>
        <v>44902</v>
      </c>
      <c r="U264" s="10"/>
    </row>
    <row r="265" spans="1:21" ht="409.5" x14ac:dyDescent="0.2">
      <c r="A265" s="10" t="str">
        <f ca="1">IFERROR(__xludf.DUMMYFUNCTION("""COMPUTED_VALUE"""),"Gestión con valores para resultados")</f>
        <v>Gestión con valores para resultados</v>
      </c>
      <c r="B265" s="10" t="str">
        <f ca="1">IFERROR(__xludf.DUMMYFUNCTION("""COMPUTED_VALUE"""),"Servicio al Ciudadano")</f>
        <v>Servicio al Ciudadano</v>
      </c>
      <c r="C265" s="10" t="str">
        <f ca="1">IFERROR(__xludf.DUMMYFUNCTION("""COMPUTED_VALUE"""),"La entidad incluye en sus informes de peticiones, quejas, reclamos, sugerencias y denuncias, los siguientes elementos de análisis:
  - Recomendaciones de la entidad sobre los trámites y servicios con mayor número de quejas y reclamos
 - Recomendaciones de"&amp;" los particulares dirigidas a mejorar el servicio que preste la entidad
 - Recomendaciones de los particulares dirigidas a incentivar la participación en la gestión pública
 - Recomendaciones de los particulares dirigidas a racionalizar el empleo de los r"&amp;"ecursos disponibles")</f>
        <v>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v>
      </c>
      <c r="D265" s="10" t="str">
        <f ca="1">IFERROR(__xludf.DUMMYFUNCTION("""COMPUTED_VALUE"""),"Recopilación de elementos de análisis")</f>
        <v>Recopilación de elementos de análisis</v>
      </c>
      <c r="E265" s="10" t="str">
        <f ca="1">IFERROR(__xludf.DUMMYFUNCTION("""COMPUTED_VALUE"""),"Informes ajustados")</f>
        <v>Informes ajustados</v>
      </c>
      <c r="F265" s="11">
        <f ca="1">IFERROR(__xludf.DUMMYFUNCTION("""COMPUTED_VALUE"""),44564)</f>
        <v>44564</v>
      </c>
      <c r="G265" s="11">
        <f ca="1">IFERROR(__xludf.DUMMYFUNCTION("""COMPUTED_VALUE"""),44926)</f>
        <v>44926</v>
      </c>
      <c r="H265" s="10" t="str">
        <f ca="1">IFERROR(__xludf.DUMMYFUNCTION("""COMPUTED_VALUE"""),"Profesional Especializado Servicio al Cliente")</f>
        <v>Profesional Especializado Servicio al Cliente</v>
      </c>
      <c r="I265" s="12">
        <f ca="1">IFERROR(__xludf.DUMMYFUNCTION("""COMPUTED_VALUE"""),0.62)</f>
        <v>0.62</v>
      </c>
      <c r="J265" s="10" t="str">
        <f ca="1">IFERROR(__xludf.DUMMYFUNCTION("""COMPUTED_VALUE"""),"se presentan informes trimestrales informando el numero de PQRSD recibidas, no contestadas y contestadas fuera de termino y se envía a la oficina de control interno y a cada secretarío de despacho, tambien en la encuesta de satisfacción del cliente intern"&amp;"o y externo se dan a conocer las recomendaciones dadas por particulares dirigidas a mejorar el servicio que preste la entidad, por otro lado, se estableció anexar a los informes recomendaciones como las mencionadas en esta actividad.")</f>
        <v>se presentan informes trimestrales informando el numero de PQRSD recibidas, no contestadas y contestadas fuera de termino y se envía a la oficina de control interno y a cada secretarío de despacho, tambien en la encuesta de satisfacción del cliente interno y externo se dan a conocer las recomendaciones dadas por particulares dirigidas a mejorar el servicio que preste la entidad, por otro lado, se estableció anexar a los informes recomendaciones como las mencionadas en esta actividad.</v>
      </c>
      <c r="K265" s="11">
        <f ca="1">IFERROR(__xludf.DUMMYFUNCTION("""COMPUTED_VALUE"""),44650)</f>
        <v>44650</v>
      </c>
      <c r="L265" s="12">
        <f ca="1">IFERROR(__xludf.DUMMYFUNCTION("""COMPUTED_VALUE"""),0.65)</f>
        <v>0.65</v>
      </c>
      <c r="M265" s="10" t="str">
        <f ca="1">IFERROR(__xludf.DUMMYFUNCTION("""COMPUTED_VALUE"""),"se presentan informes trimestrales informando el numero de PQRSD recibidas, no contestadas y contestadas fuera de termino y se envía a la oficina de control interno y a cada secretarío de despacho, tambien en la encuesta de satisfacción del cliente intern"&amp;"o y externo se dan a conocer las recomendaciones dadas por particulares dirigidas a mejorar el servicio que preste la entidad, por otro lado, para el informe del segundo trimestre se anexaran las recomendaciones que se hayan presentado.")</f>
        <v>se presentan informes trimestrales informando el numero de PQRSD recibidas, no contestadas y contestadas fuera de termino y se envía a la oficina de control interno y a cada secretarío de despacho, tambien en la encuesta de satisfacción del cliente interno y externo se dan a conocer las recomendaciones dadas por particulares dirigidas a mejorar el servicio que preste la entidad, por otro lado, para el informe del segundo trimestre se anexaran las recomendaciones que se hayan presentado.</v>
      </c>
      <c r="N265" s="11">
        <f ca="1">IFERROR(__xludf.DUMMYFUNCTION("""COMPUTED_VALUE"""),44754)</f>
        <v>44754</v>
      </c>
      <c r="O265" s="12">
        <f ca="1">IFERROR(__xludf.DUMMYFUNCTION("""COMPUTED_VALUE"""),0.75)</f>
        <v>0.75</v>
      </c>
      <c r="P265" s="10" t="str">
        <f ca="1">IFERROR(__xludf.DUMMYFUNCTION("""COMPUTED_VALUE"""),"Presentación de informe de PQRSD del tercer trimestre del 2022, en proceso de elaboración, donde incluyó las recomendaciones mencionadas en la presente actividad, en caso de que se hayan presentado en el periodo en estudio. dicho informe sera publicado du"&amp;"rante la primer semana del mes de noviembre dado que a la fecha algunas solicitudes se encuentran dentro de los terminos y pueden ser causa de alteración a los resultados presentados, por lo tanto, se debe hacer una vez todas las solicitudes se encuentren"&amp;" vencidas. ")</f>
        <v xml:space="preserve">Presentación de informe de PQRSD del tercer trimestre del 2022, en proceso de elaboración, donde incluyó las recomendaciones mencionadas en la presente actividad, en caso de que se hayan presentado en el periodo en estudio. dicho informe sera publicado durante la primer semana del mes de noviembre dado que a la fecha algunas solicitudes se encuentran dentro de los terminos y pueden ser causa de alteración a los resultados presentados, por lo tanto, se debe hacer una vez todas las solicitudes se encuentren vencidas. </v>
      </c>
      <c r="Q265" s="11">
        <f ca="1">IFERROR(__xludf.DUMMYFUNCTION("""COMPUTED_VALUE"""),44852)</f>
        <v>44852</v>
      </c>
      <c r="R265" s="12"/>
      <c r="S265" s="10" t="str">
        <f ca="1">IFERROR(__xludf.DUMMYFUNCTION("""COMPUTED_VALUE"""),"Informe de PQRSD cuarto trimestre con recomendaciones incluídas.
evidencia: Plataforma SAIA.")</f>
        <v>Informe de PQRSD cuarto trimestre con recomendaciones incluídas.
evidencia: Plataforma SAIA.</v>
      </c>
      <c r="T265" s="11">
        <f ca="1">IFERROR(__xludf.DUMMYFUNCTION("""COMPUTED_VALUE"""),44902)</f>
        <v>44902</v>
      </c>
      <c r="U265" s="10"/>
    </row>
    <row r="266" spans="1:21" ht="178.5" x14ac:dyDescent="0.2">
      <c r="A266" s="10" t="str">
        <f ca="1">IFERROR(__xludf.DUMMYFUNCTION("""COMPUTED_VALUE"""),"Gestión con valores para resultados")</f>
        <v>Gestión con valores para resultados</v>
      </c>
      <c r="B266" s="10" t="str">
        <f ca="1">IFERROR(__xludf.DUMMYFUNCTION("""COMPUTED_VALUE"""),"Servicio al Ciudadano")</f>
        <v>Servicio al Ciudadano</v>
      </c>
      <c r="C266" s="10" t="str">
        <f ca="1">IFERROR(__xludf.DUMMYFUNCTION("""COMPUTED_VALUE"""),"La entidad cumple con los términos legales para responder las peticiones y consultas")</f>
        <v>La entidad cumple con los términos legales para responder las peticiones y consultas</v>
      </c>
      <c r="D266" s="10" t="str">
        <f ca="1">IFERROR(__xludf.DUMMYFUNCTION("""COMPUTED_VALUE"""),"Socialización de informes por dependencias para buscar el mejoramiento de respuesta.")</f>
        <v>Socialización de informes por dependencias para buscar el mejoramiento de respuesta.</v>
      </c>
      <c r="E266" s="10" t="str">
        <f ca="1">IFERROR(__xludf.DUMMYFUNCTION("""COMPUTED_VALUE"""),"Informe de seguimiento")</f>
        <v>Informe de seguimiento</v>
      </c>
      <c r="F266" s="11">
        <f ca="1">IFERROR(__xludf.DUMMYFUNCTION("""COMPUTED_VALUE"""),44564)</f>
        <v>44564</v>
      </c>
      <c r="G266" s="11">
        <f ca="1">IFERROR(__xludf.DUMMYFUNCTION("""COMPUTED_VALUE"""),44926)</f>
        <v>44926</v>
      </c>
      <c r="H266" s="10" t="str">
        <f ca="1">IFERROR(__xludf.DUMMYFUNCTION("""COMPUTED_VALUE"""),"Profesional Especializado Servicio al Cliente")</f>
        <v>Profesional Especializado Servicio al Cliente</v>
      </c>
      <c r="I266" s="12">
        <f ca="1">IFERROR(__xludf.DUMMYFUNCTION("""COMPUTED_VALUE"""),0.25)</f>
        <v>0.25</v>
      </c>
      <c r="J266" s="10" t="str">
        <f ca="1">IFERROR(__xludf.DUMMYFUNCTION("""COMPUTED_VALUE"""),"se realizo socialización del informe de PQRSD para el primer trimestre del año con los secretarios de despacho para dar a conocer las estadísticas de respuesta.")</f>
        <v>se realizo socialización del informe de PQRSD para el primer trimestre del año con los secretarios de despacho para dar a conocer las estadísticas de respuesta.</v>
      </c>
      <c r="K266" s="11">
        <f ca="1">IFERROR(__xludf.DUMMYFUNCTION("""COMPUTED_VALUE"""),44650)</f>
        <v>44650</v>
      </c>
      <c r="L266" s="12">
        <f ca="1">IFERROR(__xludf.DUMMYFUNCTION("""COMPUTED_VALUE"""),0.5)</f>
        <v>0.5</v>
      </c>
      <c r="M266" s="10" t="str">
        <f ca="1">IFERROR(__xludf.DUMMYFUNCTION("""COMPUTED_VALUE"""),"se realizo socialización del informe de PQRSD para el segundo trimestre del año con los secretarios de despacho para dar a conocer las estadísticas de respuesta.")</f>
        <v>se realizo socialización del informe de PQRSD para el segundo trimestre del año con los secretarios de despacho para dar a conocer las estadísticas de respuesta.</v>
      </c>
      <c r="N266" s="11">
        <f ca="1">IFERROR(__xludf.DUMMYFUNCTION("""COMPUTED_VALUE"""),44754)</f>
        <v>44754</v>
      </c>
      <c r="O266" s="12">
        <f ca="1">IFERROR(__xludf.DUMMYFUNCTION("""COMPUTED_VALUE"""),0.75)</f>
        <v>0.75</v>
      </c>
      <c r="P266" s="10" t="str">
        <f ca="1">IFERROR(__xludf.DUMMYFUNCTION("""COMPUTED_VALUE"""),"Informe de PQRSD del tercer trimestre del 2022 en proceso de elaboración.
fecha de presentación: primera semana del mes de noviembre del 2022.")</f>
        <v>Informe de PQRSD del tercer trimestre del 2022 en proceso de elaboración.
fecha de presentación: primera semana del mes de noviembre del 2022.</v>
      </c>
      <c r="Q266" s="11">
        <f ca="1">IFERROR(__xludf.DUMMYFUNCTION("""COMPUTED_VALUE"""),44852)</f>
        <v>44852</v>
      </c>
      <c r="R266" s="12">
        <f ca="1">IFERROR(__xludf.DUMMYFUNCTION("""COMPUTED_VALUE"""),1)</f>
        <v>1</v>
      </c>
      <c r="S266" s="10" t="str">
        <f ca="1">IFERROR(__xludf.DUMMYFUNCTION("""COMPUTED_VALUE"""),"Informe de seguimiento de PQRSD cuarto trimestre, presentado a todos los secretarios de despacho.
evidencia: Plataforma SAIA.")</f>
        <v>Informe de seguimiento de PQRSD cuarto trimestre, presentado a todos los secretarios de despacho.
evidencia: Plataforma SAIA.</v>
      </c>
      <c r="T266" s="11">
        <f ca="1">IFERROR(__xludf.DUMMYFUNCTION("""COMPUTED_VALUE"""),44902)</f>
        <v>44902</v>
      </c>
      <c r="U266" s="10"/>
    </row>
    <row r="267" spans="1:21" ht="255" x14ac:dyDescent="0.2">
      <c r="A267" s="10" t="str">
        <f ca="1">IFERROR(__xludf.DUMMYFUNCTION("""COMPUTED_VALUE"""),"Gestión con valores para resultados")</f>
        <v>Gestión con valores para resultados</v>
      </c>
      <c r="B267" s="10" t="str">
        <f ca="1">IFERROR(__xludf.DUMMYFUNCTION("""COMPUTED_VALUE"""),"Servicio al Ciudadano")</f>
        <v>Servicio al Ciudadano</v>
      </c>
      <c r="C267" s="10" t="str">
        <f ca="1">IFERROR(__xludf.DUMMYFUNCTION("""COMPUTED_VALUE"""),"La entidad actualizó su reglamento de peticiones, quejas y reclamos, lineamientos para la atención y gestión de peticiones verbales en lenguas nativas, de acuerdo con el decreto 1166 de 2016.")</f>
        <v>La entidad actualizó su reglamento de peticiones, quejas y reclamos, lineamientos para la atención y gestión de peticiones verbales en lenguas nativas, de acuerdo con el decreto 1166 de 2016.</v>
      </c>
      <c r="D267" s="10" t="str">
        <f ca="1">IFERROR(__xludf.DUMMYFUNCTION("""COMPUTED_VALUE"""),"Actualización de manual de PQRSD")</f>
        <v>Actualización de manual de PQRSD</v>
      </c>
      <c r="E267" s="10" t="str">
        <f ca="1">IFERROR(__xludf.DUMMYFUNCTION("""COMPUTED_VALUE"""),"Manual PQRSD actualizado")</f>
        <v>Manual PQRSD actualizado</v>
      </c>
      <c r="F267" s="11">
        <f ca="1">IFERROR(__xludf.DUMMYFUNCTION("""COMPUTED_VALUE"""),44564)</f>
        <v>44564</v>
      </c>
      <c r="G267" s="11">
        <f ca="1">IFERROR(__xludf.DUMMYFUNCTION("""COMPUTED_VALUE"""),44926)</f>
        <v>44926</v>
      </c>
      <c r="H267" s="10" t="str">
        <f ca="1">IFERROR(__xludf.DUMMYFUNCTION("""COMPUTED_VALUE"""),"Profesional Especializado Servicio al Cliente")</f>
        <v>Profesional Especializado Servicio al Cliente</v>
      </c>
      <c r="I267" s="12">
        <f ca="1">IFERROR(__xludf.DUMMYFUNCTION("""COMPUTED_VALUE"""),0.5)</f>
        <v>0.5</v>
      </c>
      <c r="J267" s="10" t="str">
        <f ca="1">IFERROR(__xludf.DUMMYFUNCTION("""COMPUTED_VALUE"""),"Se realizó un acercamiento con la secretaría de Educación para tener apoyo de personal que maneje lenguas nativas en los casos que se presente una PQRSD de esta índole, proceso que se anexara al manual de PQRSD.")</f>
        <v>Se realizó un acercamiento con la secretaría de Educación para tener apoyo de personal que maneje lenguas nativas en los casos que se presente una PQRSD de esta índole, proceso que se anexara al manual de PQRSD.</v>
      </c>
      <c r="K267" s="11">
        <f ca="1">IFERROR(__xludf.DUMMYFUNCTION("""COMPUTED_VALUE"""),44650)</f>
        <v>44650</v>
      </c>
      <c r="L267" s="12">
        <f ca="1">IFERROR(__xludf.DUMMYFUNCTION("""COMPUTED_VALUE"""),0.6)</f>
        <v>0.6</v>
      </c>
      <c r="M267" s="10" t="str">
        <f ca="1">IFERROR(__xludf.DUMMYFUNCTION("""COMPUTED_VALUE"""),"Se realizó un acercamiento con la secretaría de Educación para tener apoyo de personal que maneje lenguas nativas en los casos que se presente una PQRSD de esta índole, proceso que se anexara al manual de PQRSD el cual se encuentra en proceso de actualiza"&amp;"cion.")</f>
        <v>Se realizó un acercamiento con la secretaría de Educación para tener apoyo de personal que maneje lenguas nativas en los casos que se presente una PQRSD de esta índole, proceso que se anexara al manual de PQRSD el cual se encuentra en proceso de actualizacion.</v>
      </c>
      <c r="N267" s="11">
        <f ca="1">IFERROR(__xludf.DUMMYFUNCTION("""COMPUTED_VALUE"""),44754)</f>
        <v>44754</v>
      </c>
      <c r="O267" s="12">
        <f ca="1">IFERROR(__xludf.DUMMYFUNCTION("""COMPUTED_VALUE"""),0.6)</f>
        <v>0.6</v>
      </c>
      <c r="P267" s="10" t="str">
        <f ca="1">IFERROR(__xludf.DUMMYFUNCTION("""COMPUTED_VALUE"""),"se estableció el proceso a realizar en caso de que se reciba una PQRSD en lengua nativa, dicho proceso se anexará tanto en el manual de PQRSD como en el manual de servicio al CIudadano que se encuentra en proceso de actualización.")</f>
        <v>se estableció el proceso a realizar en caso de que se reciba una PQRSD en lengua nativa, dicho proceso se anexará tanto en el manual de PQRSD como en el manual de servicio al CIudadano que se encuentra en proceso de actualización.</v>
      </c>
      <c r="Q267" s="11">
        <f ca="1">IFERROR(__xludf.DUMMYFUNCTION("""COMPUTED_VALUE"""),44852)</f>
        <v>44852</v>
      </c>
      <c r="R267" s="12">
        <f ca="1">IFERROR(__xludf.DUMMYFUNCTION("""COMPUTED_VALUE"""),1)</f>
        <v>1</v>
      </c>
      <c r="S267" s="10" t="str">
        <f ca="1">IFERROR(__xludf.DUMMYFUNCTION("""COMPUTED_VALUE"""),"Manual de PQRSD actualizado.
EVIDENCIA: plataforma SAIA y Página web.")</f>
        <v>Manual de PQRSD actualizado.
EVIDENCIA: plataforma SAIA y Página web.</v>
      </c>
      <c r="T267" s="11">
        <f ca="1">IFERROR(__xludf.DUMMYFUNCTION("""COMPUTED_VALUE"""),44902)</f>
        <v>44902</v>
      </c>
      <c r="U267" s="10"/>
    </row>
    <row r="268" spans="1:21" ht="191.25" x14ac:dyDescent="0.2">
      <c r="A268" s="10" t="str">
        <f ca="1">IFERROR(__xludf.DUMMYFUNCTION("""COMPUTED_VALUE"""),"Gestión con valores para resultados")</f>
        <v>Gestión con valores para resultados</v>
      </c>
      <c r="B268" s="10" t="str">
        <f ca="1">IFERROR(__xludf.DUMMYFUNCTION("""COMPUTED_VALUE"""),"Servicio al Ciudadano")</f>
        <v>Servicio al Ciudadano</v>
      </c>
      <c r="C268" s="10" t="str">
        <f ca="1">IFERROR(__xludf.DUMMYFUNCTION("""COMPUTED_VALUE"""),"La entidad dispone de mecanismos para recibir y tramitar las peticiones interpuestas en lenguas nativas o dialectos oficiales de Colombia, diferentes al español.")</f>
        <v>La entidad dispone de mecanismos para recibir y tramitar las peticiones interpuestas en lenguas nativas o dialectos oficiales de Colombia, diferentes al español.</v>
      </c>
      <c r="D268" s="10" t="str">
        <f ca="1">IFERROR(__xludf.DUMMYFUNCTION("""COMPUTED_VALUE"""),"Establecer mecanismos para peticiones en lenguas nativas en manual de Servicio al Ciudadano")</f>
        <v>Establecer mecanismos para peticiones en lenguas nativas en manual de Servicio al Ciudadano</v>
      </c>
      <c r="E268" s="10" t="str">
        <f ca="1">IFERROR(__xludf.DUMMYFUNCTION("""COMPUTED_VALUE"""),"Mecanismos establecidos")</f>
        <v>Mecanismos establecidos</v>
      </c>
      <c r="F268" s="11">
        <f ca="1">IFERROR(__xludf.DUMMYFUNCTION("""COMPUTED_VALUE"""),44564)</f>
        <v>44564</v>
      </c>
      <c r="G268" s="11">
        <f ca="1">IFERROR(__xludf.DUMMYFUNCTION("""COMPUTED_VALUE"""),44926)</f>
        <v>44926</v>
      </c>
      <c r="H268" s="10" t="str">
        <f ca="1">IFERROR(__xludf.DUMMYFUNCTION("""COMPUTED_VALUE"""),"Profesional Especializado Servicio al Cliente")</f>
        <v>Profesional Especializado Servicio al Cliente</v>
      </c>
      <c r="I268" s="12">
        <f ca="1">IFERROR(__xludf.DUMMYFUNCTION("""COMPUTED_VALUE"""),0.5)</f>
        <v>0.5</v>
      </c>
      <c r="J268" s="10" t="str">
        <f ca="1">IFERROR(__xludf.DUMMYFUNCTION("""COMPUTED_VALUE"""),"En el manual de servicio al ciudadano el cual se encuentra en un 90% de elaboración se estableceran los mecanismos para recibir y tramitar las peticiones interpuestas en lenguas nativas o dialectivos oficiales de Colombia diferentes al español.")</f>
        <v>En el manual de servicio al ciudadano el cual se encuentra en un 90% de elaboración se estableceran los mecanismos para recibir y tramitar las peticiones interpuestas en lenguas nativas o dialectivos oficiales de Colombia diferentes al español.</v>
      </c>
      <c r="K268" s="11">
        <f ca="1">IFERROR(__xludf.DUMMYFUNCTION("""COMPUTED_VALUE"""),44650)</f>
        <v>44650</v>
      </c>
      <c r="L268" s="12">
        <f ca="1">IFERROR(__xludf.DUMMYFUNCTION("""COMPUTED_VALUE"""),0.6)</f>
        <v>0.6</v>
      </c>
      <c r="M268" s="10" t="str">
        <f ca="1">IFERROR(__xludf.DUMMYFUNCTION("""COMPUTED_VALUE"""),"En el manual de servicio al ciudadano el cual se encuentra en un 90% de elaboración se estableceran los mecanismos para recibir y tramitar las peticiones interpuestas en lenguas nativas o dialectivos oficiales de Colombia diferentes al español.")</f>
        <v>En el manual de servicio al ciudadano el cual se encuentra en un 90% de elaboración se estableceran los mecanismos para recibir y tramitar las peticiones interpuestas en lenguas nativas o dialectivos oficiales de Colombia diferentes al español.</v>
      </c>
      <c r="N268" s="11">
        <f ca="1">IFERROR(__xludf.DUMMYFUNCTION("""COMPUTED_VALUE"""),44754)</f>
        <v>44754</v>
      </c>
      <c r="O268" s="12">
        <f ca="1">IFERROR(__xludf.DUMMYFUNCTION("""COMPUTED_VALUE"""),0.6)</f>
        <v>0.6</v>
      </c>
      <c r="P268" s="10" t="str">
        <f ca="1">IFERROR(__xludf.DUMMYFUNCTION("""COMPUTED_VALUE"""),"El manual de servicio al ciudadano el cual se encuentra en proceso de actualización estará descrito el mecanismo a realizar en caso de que se reciba una PQRSD en lengua nativa.")</f>
        <v>El manual de servicio al ciudadano el cual se encuentra en proceso de actualización estará descrito el mecanismo a realizar en caso de que se reciba una PQRSD en lengua nativa.</v>
      </c>
      <c r="Q268" s="11">
        <f ca="1">IFERROR(__xludf.DUMMYFUNCTION("""COMPUTED_VALUE"""),44852)</f>
        <v>44852</v>
      </c>
      <c r="R268" s="12">
        <f ca="1">IFERROR(__xludf.DUMMYFUNCTION("""COMPUTED_VALUE"""),1)</f>
        <v>1</v>
      </c>
      <c r="S268" s="10" t="str">
        <f ca="1">IFERROR(__xludf.DUMMYFUNCTION("""COMPUTED_VALUE"""),"Manual de servicio al ciudadano actualizado.
EVIDENCIA: plataforma SAIA y Página web.")</f>
        <v>Manual de servicio al ciudadano actualizado.
EVIDENCIA: plataforma SAIA y Página web.</v>
      </c>
      <c r="T268" s="11">
        <f ca="1">IFERROR(__xludf.DUMMYFUNCTION("""COMPUTED_VALUE"""),44902)</f>
        <v>44902</v>
      </c>
      <c r="U268" s="10"/>
    </row>
    <row r="269" spans="1:21" ht="204" x14ac:dyDescent="0.2">
      <c r="A269" s="10" t="str">
        <f ca="1">IFERROR(__xludf.DUMMYFUNCTION("""COMPUTED_VALUE"""),"Gestión con valores para resultados")</f>
        <v>Gestión con valores para resultados</v>
      </c>
      <c r="B269" s="10" t="str">
        <f ca="1">IFERROR(__xludf.DUMMYFUNCTION("""COMPUTED_VALUE"""),"Servicio al Ciudadano")</f>
        <v>Servicio al Ciudadano</v>
      </c>
      <c r="C269" s="10" t="str">
        <f ca="1">IFERROR(__xludf.DUMMYFUNCTION("""COMPUTED_VALUE"""),"Diseñar e implementar los documentos, guías o manuales para la caracterización de los usuarios en la entidad.")</f>
        <v>Diseñar e implementar los documentos, guías o manuales para la caracterización de los usuarios en la entidad.</v>
      </c>
      <c r="D269" s="10" t="str">
        <f ca="1">IFERROR(__xludf.DUMMYFUNCTION("""COMPUTED_VALUE"""),"caracterización de usuarios que interponen PQRSD ante la entidad.")</f>
        <v>caracterización de usuarios que interponen PQRSD ante la entidad.</v>
      </c>
      <c r="E269" s="10" t="str">
        <f ca="1">IFERROR(__xludf.DUMMYFUNCTION("""COMPUTED_VALUE"""),"Manual de caracterización de usuarios que interponen PQRSD establecido")</f>
        <v>Manual de caracterización de usuarios que interponen PQRSD establecido</v>
      </c>
      <c r="F269" s="11">
        <f ca="1">IFERROR(__xludf.DUMMYFUNCTION("""COMPUTED_VALUE"""),44754)</f>
        <v>44754</v>
      </c>
      <c r="G269" s="11">
        <f ca="1">IFERROR(__xludf.DUMMYFUNCTION("""COMPUTED_VALUE"""),44926)</f>
        <v>44926</v>
      </c>
      <c r="H269" s="10" t="str">
        <f ca="1">IFERROR(__xludf.DUMMYFUNCTION("""COMPUTED_VALUE"""),"Profesional Especializado Servicio al Cliente")</f>
        <v>Profesional Especializado Servicio al Cliente</v>
      </c>
      <c r="I269" s="12">
        <f ca="1">IFERROR(__xludf.DUMMYFUNCTION("""COMPUTED_VALUE"""),0)</f>
        <v>0</v>
      </c>
      <c r="J269" s="10"/>
      <c r="K269" s="11"/>
      <c r="L269" s="12">
        <f ca="1">IFERROR(__xludf.DUMMYFUNCTION("""COMPUTED_VALUE"""),0)</f>
        <v>0</v>
      </c>
      <c r="M269" s="10" t="str">
        <f ca="1">IFERROR(__xludf.DUMMYFUNCTION("""COMPUTED_VALUE"""),"Inicio de elaboracion del manual.")</f>
        <v>Inicio de elaboracion del manual.</v>
      </c>
      <c r="N269" s="11">
        <f ca="1">IFERROR(__xludf.DUMMYFUNCTION("""COMPUTED_VALUE"""),44754)</f>
        <v>44754</v>
      </c>
      <c r="O269" s="12">
        <f ca="1">IFERROR(__xludf.DUMMYFUNCTION("""COMPUTED_VALUE"""),0)</f>
        <v>0</v>
      </c>
      <c r="P269" s="10" t="str">
        <f ca="1">IFERROR(__xludf.DUMMYFUNCTION("""COMPUTED_VALUE"""),"No se tienen avances en esta actividad.")</f>
        <v>No se tienen avances en esta actividad.</v>
      </c>
      <c r="Q269" s="11">
        <f ca="1">IFERROR(__xludf.DUMMYFUNCTION("""COMPUTED_VALUE"""),44852)</f>
        <v>44852</v>
      </c>
      <c r="R269" s="12">
        <f ca="1">IFERROR(__xludf.DUMMYFUNCTION("""COMPUTED_VALUE"""),0)</f>
        <v>0</v>
      </c>
      <c r="S269" s="10" t="str">
        <f ca="1">IFERROR(__xludf.DUMMYFUNCTION("""COMPUTED_VALUE"""),"No se cuentan con avances para esta actividad, dado que para su elaboración se requiere que se hagan unos ajustes al boton de reporte de PQRSD de la plataforma SAIA.")</f>
        <v>No se cuentan con avances para esta actividad, dado que para su elaboración se requiere que se hagan unos ajustes al boton de reporte de PQRSD de la plataforma SAIA.</v>
      </c>
      <c r="T269" s="11">
        <f ca="1">IFERROR(__xludf.DUMMYFUNCTION("""COMPUTED_VALUE"""),44902)</f>
        <v>44902</v>
      </c>
      <c r="U269" s="10"/>
    </row>
    <row r="270" spans="1:21" ht="409.5" x14ac:dyDescent="0.2">
      <c r="A270" s="10" t="str">
        <f ca="1">IFERROR(__xludf.DUMMYFUNCTION("""COMPUTED_VALUE"""),"Información y Comunicación")</f>
        <v>Información y Comunicación</v>
      </c>
      <c r="B270" s="10" t="str">
        <f ca="1">IFERROR(__xludf.DUMMYFUNCTION("""COMPUTED_VALUE"""),"Transparencia, acceso a la información pública y lucha contra la corrupción")</f>
        <v>Transparencia, acceso a la información pública y lucha contra la corrupción</v>
      </c>
      <c r="C270" s="10" t="str">
        <f ca="1">IFERROR(__xludf.DUMMYFUNCTION("""COMPUTED_VALUE"""),"La organización desarrolla actividades y espacios de participación ciudadana de forma frecuente y dinámica")</f>
        <v>La organización desarrolla actividades y espacios de participación ciudadana de forma frecuente y dinámica</v>
      </c>
      <c r="D270" s="10" t="str">
        <f ca="1">IFERROR(__xludf.DUMMYFUNCTION("""COMPUTED_VALUE"""),"Informes de acuerdos y resultados de procesos de participación ciudadana de acuerdo con el Sistema de planeación participativa y democrática del Municipio de Pereira (Acuerdo 29 de 2014)")</f>
        <v>Informes de acuerdos y resultados de procesos de participación ciudadana de acuerdo con el Sistema de planeación participativa y democrática del Municipio de Pereira (Acuerdo 29 de 2014)</v>
      </c>
      <c r="E270" s="10" t="str">
        <f ca="1">IFERROR(__xludf.DUMMYFUNCTION("""COMPUTED_VALUE"""),"100% de Informes de acuerdos y resultados de procesos de participación ciudadana elaborados")</f>
        <v>100% de Informes de acuerdos y resultados de procesos de participación ciudadana elaborados</v>
      </c>
      <c r="F270" s="11">
        <f ca="1">IFERROR(__xludf.DUMMYFUNCTION("""COMPUTED_VALUE"""),44593)</f>
        <v>44593</v>
      </c>
      <c r="G270" s="11">
        <f ca="1">IFERROR(__xludf.DUMMYFUNCTION("""COMPUTED_VALUE"""),44925)</f>
        <v>44925</v>
      </c>
      <c r="H270" s="10" t="str">
        <f ca="1">IFERROR(__xludf.DUMMYFUNCTION("""COMPUTED_VALUE"""),"Subsecretaría de Planificación Socioeconómica - Secretaría de Planeación")</f>
        <v>Subsecretaría de Planificación Socioeconómica - Secretaría de Planeación</v>
      </c>
      <c r="I270" s="12">
        <f ca="1">IFERROR(__xludf.DUMMYFUNCTION("""COMPUTED_VALUE"""),0.2)</f>
        <v>0.2</v>
      </c>
      <c r="J270" s="10" t="str">
        <f ca="1">IFERROR(__xludf.DUMMYFUNCTION("""COMPUTED_VALUE"""),"Acta número 02 del 23 de febrero del 2022 - capacitación en política públca de participación ciudadana enmarcada en Mipg a los distintos enlaces de cada una de las Secretarias, construcción del cronograma de actividades y rendición de cuentas año 2022. Ac"&amp;"ta número 12 del 10 de marzo del 2022 - Capacitación en la Política Pública de Participación Ciudadana para la Gestión Pública con el equipo de seguimiento a la participación ciudadana enmarcada en Mipg de la Secretaría Privada, construcción del cronogram"&amp;"a de actividades y rendición de cuentas año 2022. Capacitaciones personalizadas con cada uno de los enlaces de las Secretarías para la construcción del cronograma de actividades y rendición de cuentas año 2022. 10 obras ejecutadas por la EDUP para el cump"&amp;"limiento de presupuesto participativo. Capacitación por medio de escuela de formación a 6 comunas del Municipio de Pereira y a la Secretaría de Educación en los siguientes temas: Sistema de planeación participativa y democrática, planes de desarrollo de c"&amp;"omunas y corregiminetos y Plan de Desarrollo Municipal. Mesas sectoriales en los corregimientos de la Estrella - La Palmilla para la formulación de los planes de desarrollo de comunas y corregimientos y presentación de la propuesta de Plan de Desarrollo d"&amp;"el corregimiento de Arabia y la comuna San Nicolás.")</f>
        <v>Acta número 02 del 23 de febrero del 2022 - capacitación en política públca de participación ciudadana enmarcada en Mipg a los distintos enlaces de cada una de las Secretarias, construcción del cronograma de actividades y rendición de cuentas año 2022. Acta número 12 del 10 de marzo del 2022 - Capacitación en la Política Pública de Participación Ciudadana para la Gestión Pública con el equipo de seguimiento a la participación ciudadana enmarcada en Mipg de la Secretaría Privada, construcción del cronograma de actividades y rendición de cuentas año 2022. Capacitaciones personalizadas con cada uno de los enlaces de las Secretarías para la construcción del cronograma de actividades y rendición de cuentas año 2022. 10 obras ejecutadas por la EDUP para el cumplimiento de presupuesto participativo. Capacitación por medio de escuela de formación a 6 comunas del Municipio de Pereira y a la Secretaría de Educación en los siguientes temas: Sistema de planeación participativa y democrática, planes de desarrollo de comunas y corregiminetos y Plan de Desarrollo Municipal. Mesas sectoriales en los corregimientos de la Estrella - La Palmilla para la formulación de los planes de desarrollo de comunas y corregimientos y presentación de la propuesta de Plan de Desarrollo del corregimiento de Arabia y la comuna San Nicolás.</v>
      </c>
      <c r="K270" s="11">
        <f ca="1">IFERROR(__xludf.DUMMYFUNCTION("""COMPUTED_VALUE"""),44650)</f>
        <v>44650</v>
      </c>
      <c r="L270" s="12">
        <f ca="1">IFERROR(__xludf.DUMMYFUNCTION("""COMPUTED_VALUE"""),0.4)</f>
        <v>0.4</v>
      </c>
      <c r="M270" s="10" t="str">
        <f ca="1">IFERROR(__xludf.DUMMYFUNCTION("""COMPUTED_VALUE"""),"Revisión de cronograma de actividades enviado por las Secretarías de Desarrollo Económico y Competitividad, Recreación y Deportes, Bomberos, Gobierno, POT, Salud, Privada, Subsecretaría de Planeación Socioeconómica, TICS, Oficina de Paz, Desarrollo Social"&amp;" y Vivienda. Capacitación personalizada a las Secretarías para la construcción del cronograma de actividades de participación ciudadana y rendición de cuentas año 2022 y reporte al FURAG año 2021. Reunión con el equipo de enlaces de la Política de Partici"&amp;"pación Ciudadana para la Gestión Pública el día 16 de junio a las 2:00 pm –Asunto: Reunión extraordinaria avance de la Política Pública de Participación Ciudadana enmarcada en MIPG SAIA número 31232. Acta de reunión PPPCGP del día 21 de junio del 2022. SA"&amp;"IA 34041 del día 28 de junio del 2022 Asunto: Reunión Política Pública de Participación Ciudadana enmarcada en MIPG (Resultados FURAG 2021. Se realizaron reuniones de concertación en las comunas y corregimientos del municipio, con el fin de elaborar los p"&amp;"resupuestos de los proyectos ganadores en las elecciones del 2021 y definir convenio a ejecutarlo con la secretaria de infraestructura y/o empresa de desarrollo urbano Pereira. Seguimiento a la entrega de los proyectos incluidos dentro del presupuesto par"&amp;"ticipativo en la comuna del ROCIO instrumentos musicales, la entrega de la cerámica a la comuna de SAN NICOLAS y concertación con las comunas que ganaron arreglo de casetas para la entrega de materiales de construcción. Con el fin de dar cumplimiento a la"&amp;" ejecución de los proyectos elegidos por votación popular en las elecciones de vigencias pasadas, se solicitaron la expedición de los CDP para las mininas de herramientas y dotación, inmobiliario y electrodoméstico y kits escolares. con el fin de adelanta"&amp;"r los procesos de contratación. PLANES DE DESARROLLO COMUNAS Y CORREGIMIENTOS: REVISIÓN DIAGNÓSTICO: La Florida, Centro, Caimalito, Villavicencio, Río Otún, San Joaquín. MOVILIZACIÓN SOCIAL: Combia Baja, Consotá, Puerto Caldas, La Bella, Café, Tribunas, B"&amp;"ostón. PRIORIZACIÓN DE NECESIDADES: Combia Baja, Puerto Caldas, Consotá, Boston Tribunas, Estrella la Palmilla, Cerritos. MESAS SECTORIALES: Tribunas, Comuna del Café, Puerto Caldas, Comuna Consotá, Combia Baja, La Bella, Comuna Boston. PRESENTACIÓN PROPU"&amp;"ESTA PD: Comuna del Café, Combia Baja, Estrella - La Palmilla, Cerritos.")</f>
        <v>Revisión de cronograma de actividades enviado por las Secretarías de Desarrollo Económico y Competitividad, Recreación y Deportes, Bomberos, Gobierno, POT, Salud, Privada, Subsecretaría de Planeación Socioeconómica, TICS, Oficina de Paz, Desarrollo Social y Vivienda. Capacitación personalizada a las Secretarías para la construcción del cronograma de actividades de participación ciudadana y rendición de cuentas año 2022 y reporte al FURAG año 2021. Reunión con el equipo de enlaces de la Política de Participación Ciudadana para la Gestión Pública el día 16 de junio a las 2:00 pm –Asunto: Reunión extraordinaria avance de la Política Pública de Participación Ciudadana enmarcada en MIPG SAIA número 31232. Acta de reunión PPPCGP del día 21 de junio del 2022. SAIA 34041 del día 28 de junio del 2022 Asunto: Reunión Política Pública de Participación Ciudadana enmarcada en MIPG (Resultados FURAG 2021. Se realizaron reuniones de concertación en las comunas y corregimientos del municipio, con el fin de elaborar los presupuestos de los proyectos ganadores en las elecciones del 2021 y definir convenio a ejecutarlo con la secretaria de infraestructura y/o empresa de desarrollo urbano Pereira. Seguimiento a la entrega de los proyectos incluidos dentro del presupuesto participativo en la comuna del ROCIO instrumentos musicales, la entrega de la cerámica a la comuna de SAN NICOLAS y concertación con las comunas que ganaron arreglo de casetas para la entrega de materiales de construcción. Con el fin de dar cumplimiento a la ejecución de los proyectos elegidos por votación popular en las elecciones de vigencias pasadas, se solicitaron la expedición de los CDP para las mininas de herramientas y dotación, inmobiliario y electrodoméstico y kits escolares. con el fin de adelantar los procesos de contratación. PLANES DE DESARROLLO COMUNAS Y CORREGIMIENTOS: REVISIÓN DIAGNÓSTICO: La Florida, Centro, Caimalito, Villavicencio, Río Otún, San Joaquín. MOVILIZACIÓN SOCIAL: Combia Baja, Consotá, Puerto Caldas, La Bella, Café, Tribunas, Bostón. PRIORIZACIÓN DE NECESIDADES: Combia Baja, Puerto Caldas, Consotá, Boston Tribunas, Estrella la Palmilla, Cerritos. MESAS SECTORIALES: Tribunas, Comuna del Café, Puerto Caldas, Comuna Consotá, Combia Baja, La Bella, Comuna Boston. PRESENTACIÓN PROPUESTA PD: Comuna del Café, Combia Baja, Estrella - La Palmilla, Cerritos.</v>
      </c>
      <c r="N270" s="11">
        <f ca="1">IFERROR(__xludf.DUMMYFUNCTION("""COMPUTED_VALUE"""),44742)</f>
        <v>44742</v>
      </c>
      <c r="O270" s="12">
        <f ca="1">IFERROR(__xludf.DUMMYFUNCTION("""COMPUTED_VALUE"""),0.6)</f>
        <v>0.6</v>
      </c>
      <c r="P270" s="10" t="str">
        <f ca="1">IFERROR(__xludf.DUMMYFUNCTION("""COMPUTED_VALUE"""),"Habilitación de Botón Participa de la Página de Internet de la Alcaldía de Pereira, donde cada una de las Secretarías con actividades de participación ciudadana reportar de acuerdo a la estructura del Botón:
 Diagnóstico e identificación de problemas http"&amp;"s://www.pereira.gov.co/documentos/932/participacion-para-la-identificacion-de-problemas-y-diagnostico-de-necesidades/
 Planeación y presupuesto participativo
 https://www.pereira.gov.co/documentos/617/planeacion-y-presupuesto-participativo/
 Consulta ciud"&amp;"adana
 https://www.pereira.gov.co/documentos/618/consulta-ciudadana/
 Colaboración e innovación
 https://www.pereira.gov.co/documentos/619/colaboracion-e-innovacion/
 Rendición de cuentas
 https://www.pereira.gov.co/documentos/620/rendicion-de-cuentas/
 C"&amp;"ontrol social
 https://www.pereira.gov.co/documentos/621/control-social/")</f>
        <v>Habilitación de Botón Participa de la Página de Internet de la Alcaldía de Pereira, donde cada una de las Secretarías con actividades de participación ciudadana reportar de acuerdo a la estructura del Botón:
 Diagnóstico e identificación de problemas https://www.pereira.gov.co/documentos/932/participacion-para-la-identificacion-de-problemas-y-diagnostico-de-necesidades/
 Planeación y presupuesto participativo
 https://www.pereira.gov.co/documentos/617/planeacion-y-presupuesto-participativo/
 Consulta ciudadana
 https://www.pereira.gov.co/documentos/618/consulta-ciudadana/
 Colaboración e innovación
 https://www.pereira.gov.co/documentos/619/colaboracion-e-innovacion/
 Rendición de cuentas
 https://www.pereira.gov.co/documentos/620/rendicion-de-cuentas/
 Control social
 https://www.pereira.gov.co/documentos/621/control-social/</v>
      </c>
      <c r="Q270" s="11">
        <f ca="1">IFERROR(__xludf.DUMMYFUNCTION("""COMPUTED_VALUE"""),44834)</f>
        <v>44834</v>
      </c>
      <c r="R270" s="12">
        <f ca="1">IFERROR(__xludf.DUMMYFUNCTION("""COMPUTED_VALUE"""),0.8)</f>
        <v>0.8</v>
      </c>
      <c r="S270" s="10" t="str">
        <f ca="1">IFERROR(__xludf.DUMMYFUNCTION("""COMPUTED_VALUE"""),"Cronograma de actividades de participación ciudadana y rendición de cuentas año 2022 en el siguiente link: https://www.pereira.gov.co/documentos/617/planeacion-y-presupuesto-participativo/ . Mesa de trabajo el día 04 de noviembre del 2022 con la respectiv"&amp;"a acta con los enlaces de participación ciudadana de cada dependencia. Saia 68932 del 28 de noviembre del 2022 ""Cargue información botón participa segundo semestre del año 2022. Saia 68933 de 28 de noviembre del 2022 ""Solicitud seguimiento a la Política"&amp;" de Participación Ciudadana para la Gestión Pública cuarto trimestre del 2022"".")</f>
        <v>Cronograma de actividades de participación ciudadana y rendición de cuentas año 2022 en el siguiente link: https://www.pereira.gov.co/documentos/617/planeacion-y-presupuesto-participativo/ . Mesa de trabajo el día 04 de noviembre del 2022 con la respectiva acta con los enlaces de participación ciudadana de cada dependencia. Saia 68932 del 28 de noviembre del 2022 "Cargue información botón participa segundo semestre del año 2022. Saia 68933 de 28 de noviembre del 2022 "Solicitud seguimiento a la Política de Participación Ciudadana para la Gestión Pública cuarto trimestre del 2022".</v>
      </c>
      <c r="T270" s="11">
        <f ca="1">IFERROR(__xludf.DUMMYFUNCTION("""COMPUTED_VALUE"""),44925)</f>
        <v>44925</v>
      </c>
      <c r="U270" s="10"/>
    </row>
    <row r="271" spans="1:21" ht="229.5" x14ac:dyDescent="0.2">
      <c r="A271" s="10" t="str">
        <f ca="1">IFERROR(__xludf.DUMMYFUNCTION("""COMPUTED_VALUE"""),"Información y Comunicación")</f>
        <v>Información y Comunicación</v>
      </c>
      <c r="B271" s="10" t="str">
        <f ca="1">IFERROR(__xludf.DUMMYFUNCTION("""COMPUTED_VALUE"""),"Transparencia, acceso a la información pública y lucha contra la corrupción")</f>
        <v>Transparencia, acceso a la información pública y lucha contra la corrupción</v>
      </c>
      <c r="C271" s="10" t="str">
        <f ca="1">IFERROR(__xludf.DUMMYFUNCTION("""COMPUTED_VALUE"""),"La entidad permite que todos sus trámites sean realizados por medios electrónicos")</f>
        <v>La entidad permite que todos sus trámites sean realizados por medios electrónicos</v>
      </c>
      <c r="D271" s="10" t="str">
        <f ca="1">IFERROR(__xludf.DUMMYFUNCTION("""COMPUTED_VALUE"""),"Estrategia de Racionalización de Trámites actualizada y registrada en el SUIT, de acuerdo al Ciclo de Racionalización")</f>
        <v>Estrategia de Racionalización de Trámites actualizada y registrada en el SUIT, de acuerdo al Ciclo de Racionalización</v>
      </c>
      <c r="E271" s="10" t="str">
        <f ca="1">IFERROR(__xludf.DUMMYFUNCTION("""COMPUTED_VALUE"""),"100% de actualización de la Estrategia de Racionalización de Trámites")</f>
        <v>100% de actualización de la Estrategia de Racionalización de Trámites</v>
      </c>
      <c r="F271" s="11">
        <f ca="1">IFERROR(__xludf.DUMMYFUNCTION("""COMPUTED_VALUE"""),44593)</f>
        <v>44593</v>
      </c>
      <c r="G271" s="11">
        <f ca="1">IFERROR(__xludf.DUMMYFUNCTION("""COMPUTED_VALUE"""),44925)</f>
        <v>44925</v>
      </c>
      <c r="H271" s="10" t="str">
        <f ca="1">IFERROR(__xludf.DUMMYFUNCTION("""COMPUTED_VALUE"""),"Dirección de Información y Servicios Digitales - Secretaría de Tecnologías de la Información y la Comunicación")</f>
        <v>Dirección de Información y Servicios Digitales - Secretaría de Tecnologías de la Información y la Comunicación</v>
      </c>
      <c r="I271" s="12">
        <f ca="1">IFERROR(__xludf.DUMMYFUNCTION("""COMPUTED_VALUE"""),0.33)</f>
        <v>0.33</v>
      </c>
      <c r="J271" s="10" t="str">
        <f ca="1">IFERROR(__xludf.DUMMYFUNCTION("""COMPUTED_VALUE"""),"La estrategia de racionalización del ciclo 1 se encuentra registrada en el SUIT. 
 Estrategia de racionalización: https://docs.google.com/spreadsheets/d/130rXaE3A8t93R5yB_foW9EOrH1SsS1yC/edit?usp=sharing&amp;ouid=109371799095710558491&amp;rtpof=true&amp;sd=true")</f>
        <v>La estrategia de racionalización del ciclo 1 se encuentra registrada en el SUIT. 
 Estrategia de racionalización: https://docs.google.com/spreadsheets/d/130rXaE3A8t93R5yB_foW9EOrH1SsS1yC/edit?usp=sharing&amp;ouid=109371799095710558491&amp;rtpof=true&amp;sd=true</v>
      </c>
      <c r="K271" s="11">
        <f ca="1">IFERROR(__xludf.DUMMYFUNCTION("""COMPUTED_VALUE"""),44650)</f>
        <v>44650</v>
      </c>
      <c r="L271" s="12">
        <f ca="1">IFERROR(__xludf.DUMMYFUNCTION("""COMPUTED_VALUE"""),0.66)</f>
        <v>0.66</v>
      </c>
      <c r="M271" s="10" t="str">
        <f ca="1">IFERROR(__xludf.DUMMYFUNCTION("""COMPUTED_VALUE"""),"La estrategia de racionalización del ciclo 1 se encuentra registrada en el SUIT. 
 Estrategia de racionalización: https://drive.google.com/drive/folders/1USWv5ZiYfBI3_-uXmxsZlSHmzwl0WGya?usp=sharing")</f>
        <v>La estrategia de racionalización del ciclo 1 se encuentra registrada en el SUIT. 
 Estrategia de racionalización: https://drive.google.com/drive/folders/1USWv5ZiYfBI3_-uXmxsZlSHmzwl0WGya?usp=sharing</v>
      </c>
      <c r="N271" s="11">
        <f ca="1">IFERROR(__xludf.DUMMYFUNCTION("""COMPUTED_VALUE"""),44742)</f>
        <v>44742</v>
      </c>
      <c r="O271" s="12">
        <f ca="1">IFERROR(__xludf.DUMMYFUNCTION("""COMPUTED_VALUE"""),0.8)</f>
        <v>0.8</v>
      </c>
      <c r="P271" s="10" t="str">
        <f ca="1">IFERROR(__xludf.DUMMYFUNCTION("""COMPUTED_VALUE"""),"La estrategia de racionalización se encuentra registrada en el SUIT. 
 Estrategia de racionalización: https://drive.google.com/drive/folders/14-qDwl7x7eOF9zpDIrLQdhrZcfjDSonT?usp=sharing")</f>
        <v>La estrategia de racionalización se encuentra registrada en el SUIT. 
 Estrategia de racionalización: https://drive.google.com/drive/folders/14-qDwl7x7eOF9zpDIrLQdhrZcfjDSonT?usp=sharing</v>
      </c>
      <c r="Q271" s="11">
        <f ca="1">IFERROR(__xludf.DUMMYFUNCTION("""COMPUTED_VALUE"""),44834)</f>
        <v>44834</v>
      </c>
      <c r="R271" s="12">
        <f ca="1">IFERROR(__xludf.DUMMYFUNCTION("""COMPUTED_VALUE"""),1)</f>
        <v>1</v>
      </c>
      <c r="S271" s="10" t="str">
        <f ca="1">IFERROR(__xludf.DUMMYFUNCTION("""COMPUTED_VALUE"""),"Estrategia de racionalización: https://docs.google.com/spreadsheets/d/1IsrzDtnaCfOyDXDGcVdYjf2-uA1MQjDb/edit?usp=share_link&amp;ouid=109371799095710558491&amp;rtpof=true&amp;sd=true")</f>
        <v>Estrategia de racionalización: https://docs.google.com/spreadsheets/d/1IsrzDtnaCfOyDXDGcVdYjf2-uA1MQjDb/edit?usp=share_link&amp;ouid=109371799095710558491&amp;rtpof=true&amp;sd=true</v>
      </c>
      <c r="T271" s="11">
        <f ca="1">IFERROR(__xludf.DUMMYFUNCTION("""COMPUTED_VALUE"""),44926)</f>
        <v>44926</v>
      </c>
      <c r="U271" s="10"/>
    </row>
    <row r="272" spans="1:21" ht="409.5" x14ac:dyDescent="0.2">
      <c r="A272" s="10" t="str">
        <f ca="1">IFERROR(__xludf.DUMMYFUNCTION("""COMPUTED_VALUE"""),"Información y Comunicación")</f>
        <v>Información y Comunicación</v>
      </c>
      <c r="B272" s="10" t="str">
        <f ca="1">IFERROR(__xludf.DUMMYFUNCTION("""COMPUTED_VALUE"""),"Transparencia, acceso a la información pública y lucha contra la corrupción")</f>
        <v>Transparencia, acceso a la información pública y lucha contra la corrupción</v>
      </c>
      <c r="C272" s="10" t="str">
        <f ca="1">IFERROR(__xludf.DUMMYFUNCTION("""COMPUTED_VALUE"""),"La entidad ha publicado en su sitio Web de Transparencia y acceso a la información el directorio con los cargos, hojas de vida e información de contacto de funcionarios y contratistas")</f>
        <v>La entidad ha publicado en su sitio Web de Transparencia y acceso a la información el directorio con los cargos, hojas de vida e información de contacto de funcionarios y contratistas</v>
      </c>
      <c r="D272" s="10" t="str">
        <f ca="1">IFERROR(__xludf.DUMMYFUNCTION("""COMPUTED_VALUE"""),"Hojas de vida de los servidores públicos en el Sistema de Información de Gestión de Empleo Público - SIGEP e información de funcionarios y contratistas actualizada")</f>
        <v>Hojas de vida de los servidores públicos en el Sistema de Información de Gestión de Empleo Público - SIGEP e información de funcionarios y contratistas actualizada</v>
      </c>
      <c r="E272" s="10" t="str">
        <f ca="1">IFERROR(__xludf.DUMMYFUNCTION("""COMPUTED_VALUE"""),"100% de hojas de vida en el SIGEP e informacion de funcionarios y contratistas actualizada")</f>
        <v>100% de hojas de vida en el SIGEP e informacion de funcionarios y contratistas actualizada</v>
      </c>
      <c r="F272" s="11">
        <f ca="1">IFERROR(__xludf.DUMMYFUNCTION("""COMPUTED_VALUE"""),44593)</f>
        <v>44593</v>
      </c>
      <c r="G272" s="11">
        <f ca="1">IFERROR(__xludf.DUMMYFUNCTION("""COMPUTED_VALUE"""),44925)</f>
        <v>44925</v>
      </c>
      <c r="H272" s="10" t="str">
        <f ca="1">IFERROR(__xludf.DUMMYFUNCTION("""COMPUTED_VALUE"""),"Secretaría de Gestión Administrativa - Dirección de Talento Humano")</f>
        <v>Secretaría de Gestión Administrativa - Dirección de Talento Humano</v>
      </c>
      <c r="I272" s="12">
        <f ca="1">IFERROR(__xludf.DUMMYFUNCTION("""COMPUTED_VALUE"""),0.6)</f>
        <v>0.6</v>
      </c>
      <c r="J272" s="10" t="str">
        <f ca="1">IFERROR(__xludf.DUMMYFUNCTION("""COMPUTED_VALUE"""),"Se encuentra en proceso de actualizacion de SIGEP ll y capacitacion de CIRCULAR No. 114 Migración información de SIGEP I a SIGEP II Funcionarios y Trabajadores 
 Oficiales / CIRCULAR No. 116 CAPACITACIÓN PARA PERSONAS ENCARGADAS DEL ROL JEFE DE CONTRATOS "&amp;"EN SIGEP II")</f>
        <v>Se encuentra en proceso de actualizacion de SIGEP ll y capacitacion de CIRCULAR No. 114 Migración información de SIGEP I a SIGEP II Funcionarios y Trabajadores 
 Oficiales / CIRCULAR No. 116 CAPACITACIÓN PARA PERSONAS ENCARGADAS DEL ROL JEFE DE CONTRATOS EN SIGEP II</v>
      </c>
      <c r="K272" s="11">
        <f ca="1">IFERROR(__xludf.DUMMYFUNCTION("""COMPUTED_VALUE"""),44650)</f>
        <v>44650</v>
      </c>
      <c r="L272" s="12">
        <f ca="1">IFERROR(__xludf.DUMMYFUNCTION("""COMPUTED_VALUE"""),0.6)</f>
        <v>0.6</v>
      </c>
      <c r="M272" s="10" t="str">
        <f ca="1">IFERROR(__xludf.DUMMYFUNCTION("""COMPUTED_VALUE"""),"Se encuentra en proceso de actualizacion de SIGEP ll y capacitacion de CIRCULAR No. 114 Migración información de SIGEP I a SIGEP II Funcionarios y Trabajadores Oficiales / CIRCULAR No. 116 CAPACITACIÓN PARA PERSONAS ENCARGADAS DEL ROL JEFE DE CONTRATOS EN"&amp;" SIGEP II - PARA EL CORTE 30 DE JUNIO 2022, se encuentra en proceso de actualización del SIGEPll y capacitaciones me Migración, actualizacion y/o modificacion de la informacion mediante oficion No.19180- 154 del 13 de mayo del 2022-182 del 31 de mayo del "&amp;"2022")</f>
        <v>Se encuentra en proceso de actualizacion de SIGEP ll y capacitacion de CIRCULAR No. 114 Migración información de SIGEP I a SIGEP II Funcionarios y Trabajadores Oficiales / CIRCULAR No. 116 CAPACITACIÓN PARA PERSONAS ENCARGADAS DEL ROL JEFE DE CONTRATOS EN SIGEP II - PARA EL CORTE 30 DE JUNIO 2022, se encuentra en proceso de actualización del SIGEPll y capacitaciones me Migración, actualizacion y/o modificacion de la informacion mediante oficion No.19180- 154 del 13 de mayo del 2022-182 del 31 de mayo del 2022</v>
      </c>
      <c r="N272" s="11">
        <f ca="1">IFERROR(__xludf.DUMMYFUNCTION("""COMPUTED_VALUE"""),44742)</f>
        <v>44742</v>
      </c>
      <c r="O272" s="12">
        <f ca="1">IFERROR(__xludf.DUMMYFUNCTION("""COMPUTED_VALUE"""),0.6)</f>
        <v>0.6</v>
      </c>
      <c r="P272" s="10" t="str">
        <f ca="1">IFERROR(__xludf.DUMMYFUNCTION("""COMPUTED_VALUE"""),"Se encuentra en proceso de actualizacion de SIGEP ll , desde la Direccion Administrativa de Talento Humano se han adelantado procesos de capacitación e instrutivos con el fin de dar cumplimiento a esta actividad. mediante Radicados
 247 Asunto: ACTUALIZAC"&amp;"IÓN DE HOJA DE VIDA DEL SIGEP 
 182 Asunto: : ELABORACIÓN DECLARACIÓN DE BIENES Y RENTAS DE LA VIGENCIA 2021 Y ACTUALIZACIÓN DE LA HOJA DE VIDA SIGEP II.
 154 Asunto: REGISTRO DE CONTRATOS DE PRESTACIÓN DE SERVICIOS EN LA PLATAFORMA DEL SIGEP II POR PARTE"&amp;" DE LOS JEFES Y OPERADORES DE CONTRATOS.
 21422 Asunto: Recomendaciones de migración al SIGEP II y diligenciamiento del Aplicativo por la Integridad Pública
 139 Asunto: INSTRUCTIVOS PARA REGISTRO Y ACTUALIZACIÓN DE INFORMACIÓN EN EL SIGEP II.")</f>
        <v>Se encuentra en proceso de actualizacion de SIGEP ll , desde la Direccion Administrativa de Talento Humano se han adelantado procesos de capacitación e instrutivos con el fin de dar cumplimiento a esta actividad. mediante Radicados
 247 Asunto: ACTUALIZACIÓN DE HOJA DE VIDA DEL SIGEP 
 182 Asunto: : ELABORACIÓN DECLARACIÓN DE BIENES Y RENTAS DE LA VIGENCIA 2021 Y ACTUALIZACIÓN DE LA HOJA DE VIDA SIGEP II.
 154 Asunto: REGISTRO DE CONTRATOS DE PRESTACIÓN DE SERVICIOS EN LA PLATAFORMA DEL SIGEP II POR PARTE DE LOS JEFES Y OPERADORES DE CONTRATOS.
 21422 Asunto: Recomendaciones de migración al SIGEP II y diligenciamiento del Aplicativo por la Integridad Pública
 139 Asunto: INSTRUCTIVOS PARA REGISTRO Y ACTUALIZACIÓN DE INFORMACIÓN EN EL SIGEP II.</v>
      </c>
      <c r="Q272" s="11">
        <f ca="1">IFERROR(__xludf.DUMMYFUNCTION("""COMPUTED_VALUE"""),44834)</f>
        <v>44834</v>
      </c>
      <c r="R272" s="12">
        <f ca="1">IFERROR(__xludf.DUMMYFUNCTION("""COMPUTED_VALUE"""),0.85)</f>
        <v>0.85</v>
      </c>
      <c r="S272" s="10" t="str">
        <f ca="1">IFERROR(__xludf.DUMMYFUNCTION("""COMPUTED_VALUE"""),"Se encuentra en proceso de actualización de SIGEP ll, desde la Dirección Administrativa de Talento Humano se han adelantado procesos de capacitación e instructivos con el fin de dar cumplimiento a esta actividad, para el cierre de este reporte se cuenta c"&amp;"on 85% de hojas de vida aprobadas y el 15% pendientes de validar( este último porcentaje depende de la información que los funcionarios reportan en las mismas, la evidencias reposan en Historia Laboral a cargo de la Técnico Administrativo que adelanta el "&amp;"proceso de revisión )")</f>
        <v>Se encuentra en proceso de actualización de SIGEP ll, desde la Dirección Administrativa de Talento Humano se han adelantado procesos de capacitación e instructivos con el fin de dar cumplimiento a esta actividad, para el cierre de este reporte se cuenta con 85% de hojas de vida aprobadas y el 15% pendientes de validar( este último porcentaje depende de la información que los funcionarios reportan en las mismas, la evidencias reposan en Historia Laboral a cargo de la Técnico Administrativo que adelanta el proceso de revisión )</v>
      </c>
      <c r="T272" s="11">
        <f ca="1">IFERROR(__xludf.DUMMYFUNCTION("""COMPUTED_VALUE"""),44925)</f>
        <v>44925</v>
      </c>
      <c r="U272" s="10"/>
    </row>
    <row r="273" spans="1:21" ht="409.5" x14ac:dyDescent="0.2">
      <c r="A273" s="10" t="str">
        <f ca="1">IFERROR(__xludf.DUMMYFUNCTION("""COMPUTED_VALUE"""),"Información y Comunicación")</f>
        <v>Información y Comunicación</v>
      </c>
      <c r="B273" s="10" t="str">
        <f ca="1">IFERROR(__xludf.DUMMYFUNCTION("""COMPUTED_VALUE"""),"Transparencia, acceso a la información pública y lucha contra la corrupción")</f>
        <v>Transparencia, acceso a la información pública y lucha contra la corrupción</v>
      </c>
      <c r="C273" s="10" t="str">
        <f ca="1">IFERROR(__xludf.DUMMYFUNCTION("""COMPUTED_VALUE"""),"Los funcionarios de la entidad conocen la Ley de Transparencia y acceso a la información pública")</f>
        <v>Los funcionarios de la entidad conocen la Ley de Transparencia y acceso a la información pública</v>
      </c>
      <c r="D273" s="10" t="str">
        <f ca="1">IFERROR(__xludf.DUMMYFUNCTION("""COMPUTED_VALUE"""),"Capacitaciones sobre la ley 1712 de 2014 y en temas relacionados incluidos en el Plan Institucional de Capacitación (PIC)")</f>
        <v>Capacitaciones sobre la ley 1712 de 2014 y en temas relacionados incluidos en el Plan Institucional de Capacitación (PIC)</v>
      </c>
      <c r="E273" s="10" t="str">
        <f ca="1">IFERROR(__xludf.DUMMYFUNCTION("""COMPUTED_VALUE"""),"100% capacitaciones Ley 1712 de 2014 realizadas")</f>
        <v>100% capacitaciones Ley 1712 de 2014 realizadas</v>
      </c>
      <c r="F273" s="11">
        <f ca="1">IFERROR(__xludf.DUMMYFUNCTION("""COMPUTED_VALUE"""),44593)</f>
        <v>44593</v>
      </c>
      <c r="G273" s="11">
        <f ca="1">IFERROR(__xludf.DUMMYFUNCTION("""COMPUTED_VALUE"""),44925)</f>
        <v>44925</v>
      </c>
      <c r="H273" s="10" t="str">
        <f ca="1">IFERROR(__xludf.DUMMYFUNCTION("""COMPUTED_VALUE"""),"Dirección de Talento Humano - Secretaría de Gestión Administrativa
 Secretaría de Tecnologías de la Información y la Comunicación")</f>
        <v>Dirección de Talento Humano - Secretaría de Gestión Administrativa
 Secretaría de Tecnologías de la Información y la Comunicación</v>
      </c>
      <c r="I273" s="12">
        <f ca="1">IFERROR(__xludf.DUMMYFUNCTION("""COMPUTED_VALUE"""),0)</f>
        <v>0</v>
      </c>
      <c r="J273" s="10" t="str">
        <f ca="1">IFERROR(__xludf.DUMMYFUNCTION("""COMPUTED_VALUE"""),"En proceso de coordinar capacitaciones.")</f>
        <v>En proceso de coordinar capacitaciones.</v>
      </c>
      <c r="K273" s="11">
        <f ca="1">IFERROR(__xludf.DUMMYFUNCTION("""COMPUTED_VALUE"""),44650)</f>
        <v>44650</v>
      </c>
      <c r="L273" s="12">
        <f ca="1">IFERROR(__xludf.DUMMYFUNCTION("""COMPUTED_VALUE"""),0)</f>
        <v>0</v>
      </c>
      <c r="M273" s="10" t="str">
        <f ca="1">IFERROR(__xludf.DUMMYFUNCTION("""COMPUTED_VALUE"""),"En proceso la coordinación de capacitaciones relacionadas con la Ley de Transparencia, rendición de cuentas, Plan Anticorrupción y Atención al Ciudadano (PAAC).")</f>
        <v>En proceso la coordinación de capacitaciones relacionadas con la Ley de Transparencia, rendición de cuentas, Plan Anticorrupción y Atención al Ciudadano (PAAC).</v>
      </c>
      <c r="N273" s="11">
        <f ca="1">IFERROR(__xludf.DUMMYFUNCTION("""COMPUTED_VALUE"""),44742)</f>
        <v>44742</v>
      </c>
      <c r="O273" s="12">
        <f ca="1">IFERROR(__xludf.DUMMYFUNCTION("""COMPUTED_VALUE"""),0.5)</f>
        <v>0.5</v>
      </c>
      <c r="P273" s="10" t="str">
        <f ca="1">IFERROR(__xludf.DUMMYFUNCTION("""COMPUTED_VALUE"""),"Capacitación Plan Anticorrupción y Atención al Ciudadano (PAAC) realizada el 07 de junio de 2022
 https://drive.google.com/drive/folders/1i1w_5gWVuHK78-eLDF2cET2pMysEJG1C?usp=sharing
 En proceso publicación videos explicativos PAAC y Transparencia y Acc"&amp;"eso a la Información
 Con el propocito de dar cumplimiento a ley de acceso a la información pública, se realizaron capacitaciones politica de servicio al ciudadano N.31646 , Seminario virtual N.37499, evidencias de las personas que participaron en el si"&amp;"guiente link https://docs.google.com/spreadsheets/d/1-QmzlxX5W7A_opTbZaWGd7jU9by2sTgyhmtt2bCJYYQ/edit?invite=CKKz8M4F#gid=0")</f>
        <v>Capacitación Plan Anticorrupción y Atención al Ciudadano (PAAC) realizada el 07 de junio de 2022
 https://drive.google.com/drive/folders/1i1w_5gWVuHK78-eLDF2cET2pMysEJG1C?usp=sharing
 En proceso publicación videos explicativos PAAC y Transparencia y Acceso a la Información
 Con el propocito de dar cumplimiento a ley de acceso a la información pública, se realizaron capacitaciones politica de servicio al ciudadano N.31646 , Seminario virtual N.37499, evidencias de las personas que participaron en el siguiente link https://docs.google.com/spreadsheets/d/1-QmzlxX5W7A_opTbZaWGd7jU9by2sTgyhmtt2bCJYYQ/edit?invite=CKKz8M4F#gid=0</v>
      </c>
      <c r="Q273" s="11">
        <f ca="1">IFERROR(__xludf.DUMMYFUNCTION("""COMPUTED_VALUE"""),44834)</f>
        <v>44834</v>
      </c>
      <c r="R273" s="12">
        <f ca="1">IFERROR(__xludf.DUMMYFUNCTION("""COMPUTED_VALUE"""),0.85)</f>
        <v>0.85</v>
      </c>
      <c r="S273" s="10" t="str">
        <f ca="1">IFERROR(__xludf.DUMMYFUNCTION("""COMPUTED_VALUE"""),"En proceso publicación videos explicativos PAAC y Transparencia y Acceso a la Información
 Con el proposito de dar cumplimiento a ley de acceso a la información pública, se realizaron capacitaciones politica de servicio al ciudadano N.31646, Seminario v"&amp;"irtual N.37499, evidencias de las personas que participaron en el siguiente link https://docs.google.com/spreadsheets/d/1-QmzlxX5W7A_opTbZaWGd7jU9by2sTgyhmtt2bCJYYQ/edit?invite=CKKz8M4F#gid=0")</f>
        <v>En proceso publicación videos explicativos PAAC y Transparencia y Acceso a la Información
 Con el proposito de dar cumplimiento a ley de acceso a la información pública, se realizaron capacitaciones politica de servicio al ciudadano N.31646, Seminario virtual N.37499, evidencias de las personas que participaron en el siguiente link https://docs.google.com/spreadsheets/d/1-QmzlxX5W7A_opTbZaWGd7jU9by2sTgyhmtt2bCJYYQ/edit?invite=CKKz8M4F#gid=0</v>
      </c>
      <c r="T273" s="11">
        <f ca="1">IFERROR(__xludf.DUMMYFUNCTION("""COMPUTED_VALUE"""),44925)</f>
        <v>44925</v>
      </c>
      <c r="U273" s="10"/>
    </row>
    <row r="274" spans="1:21" ht="409.5" x14ac:dyDescent="0.2">
      <c r="A274" s="10" t="str">
        <f ca="1">IFERROR(__xludf.DUMMYFUNCTION("""COMPUTED_VALUE"""),"Información y Comunicación")</f>
        <v>Información y Comunicación</v>
      </c>
      <c r="B274" s="10" t="str">
        <f ca="1">IFERROR(__xludf.DUMMYFUNCTION("""COMPUTED_VALUE"""),"Transparencia, acceso a la información pública y lucha contra la corrupción")</f>
        <v>Transparencia, acceso a la información pública y lucha contra la corrupción</v>
      </c>
      <c r="C274" s="10" t="str">
        <f ca="1">IFERROR(__xludf.DUMMYFUNCTION("""COMPUTED_VALUE"""),"La entidad ha construido, implementado y aprobado por medio de acto administrativo el Programa de Gestión Documental de la entidad")</f>
        <v>La entidad ha construido, implementado y aprobado por medio de acto administrativo el Programa de Gestión Documental de la entidad</v>
      </c>
      <c r="D274" s="10" t="str">
        <f ca="1">IFERROR(__xludf.DUMMYFUNCTION("""COMPUTED_VALUE"""),"Programa de Gestión Documental de la entidad actualizado y publicado.")</f>
        <v>Programa de Gestión Documental de la entidad actualizado y publicado.</v>
      </c>
      <c r="E274" s="10" t="str">
        <f ca="1">IFERROR(__xludf.DUMMYFUNCTION("""COMPUTED_VALUE"""),"100% de Programa de Gestión Documental de la entidad publicado")</f>
        <v>100% de Programa de Gestión Documental de la entidad publicado</v>
      </c>
      <c r="F274" s="11">
        <f ca="1">IFERROR(__xludf.DUMMYFUNCTION("""COMPUTED_VALUE"""),44593)</f>
        <v>44593</v>
      </c>
      <c r="G274" s="11">
        <f ca="1">IFERROR(__xludf.DUMMYFUNCTION("""COMPUTED_VALUE"""),44925)</f>
        <v>44925</v>
      </c>
      <c r="H274" s="10" t="str">
        <f ca="1">IFERROR(__xludf.DUMMYFUNCTION("""COMPUTED_VALUE"""),"Gestión Documental - Secretaría de Gestión Administrativa")</f>
        <v>Gestión Documental - Secretaría de Gestión Administrativa</v>
      </c>
      <c r="I274" s="12">
        <f ca="1">IFERROR(__xludf.DUMMYFUNCTION("""COMPUTED_VALUE"""),0.5)</f>
        <v>0.5</v>
      </c>
      <c r="J274" s="10" t="str">
        <f ca="1">IFERROR(__xludf.DUMMYFUNCTION("""COMPUTED_VALUE"""),"Decreto Programa de Gestión Documental, se encuentra publicado en la página web de la Alcaldía de Pereira.(vigente)
 https://www.pereira.gov.co/documentos/837/decreto-programa-de-gestion-documental/")</f>
        <v>Decreto Programa de Gestión Documental, se encuentra publicado en la página web de la Alcaldía de Pereira.(vigente)
 https://www.pereira.gov.co/documentos/837/decreto-programa-de-gestion-documental/</v>
      </c>
      <c r="K274" s="11">
        <f ca="1">IFERROR(__xludf.DUMMYFUNCTION("""COMPUTED_VALUE"""),44650)</f>
        <v>44650</v>
      </c>
      <c r="L274" s="12">
        <f ca="1">IFERROR(__xludf.DUMMYFUNCTION("""COMPUTED_VALUE"""),0.5)</f>
        <v>0.5</v>
      </c>
      <c r="M274" s="10" t="str">
        <f ca="1">IFERROR(__xludf.DUMMYFUNCTION("""COMPUTED_VALUE"""),"Pendiente de su actualización. Documento actual disponible en https://www.pereira.gov.co/documentos/837/decreto-programa-de-gestion-documental/")</f>
        <v>Pendiente de su actualización. Documento actual disponible en https://www.pereira.gov.co/documentos/837/decreto-programa-de-gestion-documental/</v>
      </c>
      <c r="N274" s="11">
        <f ca="1">IFERROR(__xludf.DUMMYFUNCTION("""COMPUTED_VALUE"""),44742)</f>
        <v>44742</v>
      </c>
      <c r="O274" s="12">
        <f ca="1">IFERROR(__xludf.DUMMYFUNCTION("""COMPUTED_VALUE"""),0.5)</f>
        <v>0.5</v>
      </c>
      <c r="P274" s="10" t="str">
        <f ca="1">IFERROR(__xludf.DUMMYFUNCTION("""COMPUTED_VALUE"""),"Pendiente de su actualización. Documento actual disponible en https://www.pereira.gov.co/documentos/837/decreto-programa-de-gestion-documental/")</f>
        <v>Pendiente de su actualización. Documento actual disponible en https://www.pereira.gov.co/documentos/837/decreto-programa-de-gestion-documental/</v>
      </c>
      <c r="Q274" s="11">
        <f ca="1">IFERROR(__xludf.DUMMYFUNCTION("""COMPUTED_VALUE"""),44834)</f>
        <v>44834</v>
      </c>
      <c r="R274" s="12">
        <f ca="1">IFERROR(__xludf.DUMMYFUNCTION("""COMPUTED_VALUE"""),0.7)</f>
        <v>0.7</v>
      </c>
      <c r="S274" s="10" t="str">
        <f ca="1">IFERROR(__xludf.DUMMYFUNCTION("""COMPUTED_VALUE"""),"Se adelanda información al respecto del PGD, como es manuales de documentos electronicos, Visitas y recopilación de información e inventarios de DIA.
 Hace parte de las Actividades de la Entidad, al realizar actividades transversales. Evidencias en Archiv"&amp;"o central
 Capacitaciones 
 https://docs.google.com/spreadsheets/d/1rMW59lXbJnk1Q-138XsqYV8nV0GPpFrbOA7VvUiqLx4/edit?usp=sharing 
 Revisión de inventarios para traslado en Archivo Central
 https://drive.google.com/drive/folders/1Wwe1suQKvyRxKrswm9x4itVOWF"&amp;"soSh50?usp=sharing 
 TRD 2022:
 https://docs.google.com/spreadsheets/d/1LYxqAOE_JKm6wDzv9IeUsJSQtzJR3dp7ydgDioS74i4/edit?usp=sharing")</f>
        <v>Se adelanda información al respecto del PGD, como es manuales de documentos electronicos, Visitas y recopilación de información e inventarios de DIA.
 Hace parte de las Actividades de la Entidad, al realizar actividades transversales. Evidencias en Archivo central
 Capacitaciones 
 https://docs.google.com/spreadsheets/d/1rMW59lXbJnk1Q-138XsqYV8nV0GPpFrbOA7VvUiqLx4/edit?usp=sharing 
 Revisión de inventarios para traslado en Archivo Central
 https://drive.google.com/drive/folders/1Wwe1suQKvyRxKrswm9x4itVOWFsoSh50?usp=sharing 
 TRD 2022:
 https://docs.google.com/spreadsheets/d/1LYxqAOE_JKm6wDzv9IeUsJSQtzJR3dp7ydgDioS74i4/edit?usp=sharing</v>
      </c>
      <c r="T274" s="11">
        <f ca="1">IFERROR(__xludf.DUMMYFUNCTION("""COMPUTED_VALUE"""),44925)</f>
        <v>44925</v>
      </c>
      <c r="U274" s="10"/>
    </row>
    <row r="275" spans="1:21" ht="153" x14ac:dyDescent="0.2">
      <c r="A275" s="10" t="str">
        <f ca="1">IFERROR(__xludf.DUMMYFUNCTION("""COMPUTED_VALUE"""),"Información y Comunicación")</f>
        <v>Información y Comunicación</v>
      </c>
      <c r="B275" s="10" t="str">
        <f ca="1">IFERROR(__xludf.DUMMYFUNCTION("""COMPUTED_VALUE"""),"Transparencia, acceso a la información pública y lucha contra la corrupción")</f>
        <v>Transparencia, acceso a la información pública y lucha contra la corrupción</v>
      </c>
      <c r="C275" s="10" t="str">
        <f ca="1">IFERROR(__xludf.DUMMYFUNCTION("""COMPUTED_VALUE"""),"La entidad ha publicado el Esquema de Publicación de la entidad en la sección de Transparencia y acceso a la información pública de su sitio Web oficial")</f>
        <v>La entidad ha publicado el Esquema de Publicación de la entidad en la sección de Transparencia y acceso a la información pública de su sitio Web oficial</v>
      </c>
      <c r="D275" s="10" t="str">
        <f ca="1">IFERROR(__xludf.DUMMYFUNCTION("""COMPUTED_VALUE"""),"Esquema de Publicación de la entidad actualizado y publicado.")</f>
        <v>Esquema de Publicación de la entidad actualizado y publicado.</v>
      </c>
      <c r="E275" s="10" t="str">
        <f ca="1">IFERROR(__xludf.DUMMYFUNCTION("""COMPUTED_VALUE"""),"100% de actualización del Esquema de Publicación de la entidad")</f>
        <v>100% de actualización del Esquema de Publicación de la entidad</v>
      </c>
      <c r="F275" s="11">
        <f ca="1">IFERROR(__xludf.DUMMYFUNCTION("""COMPUTED_VALUE"""),44593)</f>
        <v>44593</v>
      </c>
      <c r="G275" s="11">
        <f ca="1">IFERROR(__xludf.DUMMYFUNCTION("""COMPUTED_VALUE"""),44925)</f>
        <v>44925</v>
      </c>
      <c r="H275" s="10" t="str">
        <f ca="1">IFERROR(__xludf.DUMMYFUNCTION("""COMPUTED_VALUE"""),"Secretaría de Tecnologías de la Información y la Comunicación")</f>
        <v>Secretaría de Tecnologías de la Información y la Comunicación</v>
      </c>
      <c r="I275" s="12">
        <f ca="1">IFERROR(__xludf.DUMMYFUNCTION("""COMPUTED_VALUE"""),0)</f>
        <v>0</v>
      </c>
      <c r="J275" s="10" t="str">
        <f ca="1">IFERROR(__xludf.DUMMYFUNCTION("""COMPUTED_VALUE"""),"En revisión de responsabilidad de actualización de la información")</f>
        <v>En revisión de responsabilidad de actualización de la información</v>
      </c>
      <c r="K275" s="11">
        <f ca="1">IFERROR(__xludf.DUMMYFUNCTION("""COMPUTED_VALUE"""),44650)</f>
        <v>44650</v>
      </c>
      <c r="L275" s="12">
        <f ca="1">IFERROR(__xludf.DUMMYFUNCTION("""COMPUTED_VALUE"""),1)</f>
        <v>1</v>
      </c>
      <c r="M275" s="10" t="str">
        <f ca="1">IFERROR(__xludf.DUMMYFUNCTION("""COMPUTED_VALUE"""),"Esquema de publicación actualizado:
 https://www.pereira.gov.co/documentos/559/esquema-de-publicacion-de-informacion/")</f>
        <v>Esquema de publicación actualizado:
 https://www.pereira.gov.co/documentos/559/esquema-de-publicacion-de-informacion/</v>
      </c>
      <c r="N275" s="11">
        <f ca="1">IFERROR(__xludf.DUMMYFUNCTION("""COMPUTED_VALUE"""),44742)</f>
        <v>44742</v>
      </c>
      <c r="O275" s="12">
        <f ca="1">IFERROR(__xludf.DUMMYFUNCTION("""COMPUTED_VALUE"""),1)</f>
        <v>1</v>
      </c>
      <c r="P275" s="10" t="str">
        <f ca="1">IFERROR(__xludf.DUMMYFUNCTION("""COMPUTED_VALUE"""),"Esquema de publicación actualizado:
 https://www.pereira.gov.co/documentos/559/esquema-de-publicacion-de-informacion/")</f>
        <v>Esquema de publicación actualizado:
 https://www.pereira.gov.co/documentos/559/esquema-de-publicacion-de-informacion/</v>
      </c>
      <c r="Q275" s="11">
        <f ca="1">IFERROR(__xludf.DUMMYFUNCTION("""COMPUTED_VALUE"""),44834)</f>
        <v>44834</v>
      </c>
      <c r="R275" s="12">
        <f ca="1">IFERROR(__xludf.DUMMYFUNCTION("""COMPUTED_VALUE"""),1)</f>
        <v>1</v>
      </c>
      <c r="S275" s="10" t="str">
        <f ca="1">IFERROR(__xludf.DUMMYFUNCTION("""COMPUTED_VALUE"""),"Esquema de publicación actualizado:
 https://www.pereira.gov.co/documentos/559/esquema-de-publicacion-de-informacion/")</f>
        <v>Esquema de publicación actualizado:
 https://www.pereira.gov.co/documentos/559/esquema-de-publicacion-de-informacion/</v>
      </c>
      <c r="T275" s="11">
        <f ca="1">IFERROR(__xludf.DUMMYFUNCTION("""COMPUTED_VALUE"""),44925)</f>
        <v>44925</v>
      </c>
      <c r="U275" s="10"/>
    </row>
    <row r="276" spans="1:21" ht="409.5" x14ac:dyDescent="0.2">
      <c r="A276" s="10" t="str">
        <f ca="1">IFERROR(__xludf.DUMMYFUNCTION("""COMPUTED_VALUE"""),"Información y Comunicación")</f>
        <v>Información y Comunicación</v>
      </c>
      <c r="B276" s="10" t="str">
        <f ca="1">IFERROR(__xludf.DUMMYFUNCTION("""COMPUTED_VALUE"""),"Transparencia, acceso a la información pública y lucha contra la corrupción")</f>
        <v>Transparencia, acceso a la información pública y lucha contra la corrupción</v>
      </c>
      <c r="C276" s="10" t="str">
        <f ca="1">IFERROR(__xludf.DUMMYFUNCTION("""COMPUTED_VALUE"""),"La entidad ha publicado el Registro de Activos de Información de la entidad en la sección de Transparencia y acceso a la información pública de su sitio Web oficial")</f>
        <v>La entidad ha publicado el Registro de Activos de Información de la entidad en la sección de Transparencia y acceso a la información pública de su sitio Web oficial</v>
      </c>
      <c r="D276" s="10" t="str">
        <f ca="1">IFERROR(__xludf.DUMMYFUNCTION("""COMPUTED_VALUE"""),"Registro de Activos de Información de la entidad actualizado y publicado.")</f>
        <v>Registro de Activos de Información de la entidad actualizado y publicado.</v>
      </c>
      <c r="E276" s="10" t="str">
        <f ca="1">IFERROR(__xludf.DUMMYFUNCTION("""COMPUTED_VALUE"""),"100% de actualización del Registro de Activos de Información de la entidad")</f>
        <v>100% de actualización del Registro de Activos de Información de la entidad</v>
      </c>
      <c r="F276" s="11">
        <f ca="1">IFERROR(__xludf.DUMMYFUNCTION("""COMPUTED_VALUE"""),44743)</f>
        <v>44743</v>
      </c>
      <c r="G276" s="11">
        <f ca="1">IFERROR(__xludf.DUMMYFUNCTION("""COMPUTED_VALUE"""),44925)</f>
        <v>44925</v>
      </c>
      <c r="H276" s="10" t="str">
        <f ca="1">IFERROR(__xludf.DUMMYFUNCTION("""COMPUTED_VALUE"""),"Gestión Documental - Secretaría de Gestión Administrativa")</f>
        <v>Gestión Documental - Secretaría de Gestión Administrativa</v>
      </c>
      <c r="I276" s="12">
        <f ca="1">IFERROR(__xludf.DUMMYFUNCTION("""COMPUTED_VALUE"""),0)</f>
        <v>0</v>
      </c>
      <c r="J276" s="10" t="str">
        <f ca="1">IFERROR(__xludf.DUMMYFUNCTION("""COMPUTED_VALUE"""),"En revisión de responsabilidad de actualización de la información")</f>
        <v>En revisión de responsabilidad de actualización de la información</v>
      </c>
      <c r="K276" s="11">
        <f ca="1">IFERROR(__xludf.DUMMYFUNCTION("""COMPUTED_VALUE"""),44650)</f>
        <v>44650</v>
      </c>
      <c r="L276" s="12">
        <f ca="1">IFERROR(__xludf.DUMMYFUNCTION("""COMPUTED_VALUE"""),0)</f>
        <v>0</v>
      </c>
      <c r="M276" s="10" t="str">
        <f ca="1">IFERROR(__xludf.DUMMYFUNCTION("""COMPUTED_VALUE"""),"En proceso actualización del Inventario de Activos de información del cual se deriva el Registro de Activos de Información")</f>
        <v>En proceso actualización del Inventario de Activos de información del cual se deriva el Registro de Activos de Información</v>
      </c>
      <c r="N276" s="11">
        <f ca="1">IFERROR(__xludf.DUMMYFUNCTION("""COMPUTED_VALUE"""),44742)</f>
        <v>44742</v>
      </c>
      <c r="O276" s="12">
        <f ca="1">IFERROR(__xludf.DUMMYFUNCTION("""COMPUTED_VALUE"""),0.2)</f>
        <v>0.2</v>
      </c>
      <c r="P276" s="10" t="str">
        <f ca="1">IFERROR(__xludf.DUMMYFUNCTION("""COMPUTED_VALUE"""),"Los fondos acumulados AHMP se comenzaran a carga dentro de la plataforma MIN, segun indicaciones, con lo que se busca contar con la trazabilidad de la información que se tiene a la fecha recopilada, de igual manera se cuenta con registros fotograficos de "&amp;"la Sede Jose Antonio Galan, espacio que se ha venido dando organización.
 11 registros de inventario en estado natural correspondientes a los fondos de: Tierras, Antiguo Concejo Municipal de Pereira y Alcandía de Pereira. Cada uno de ellos identifica su"&amp;"s series y se subdividen de acuerdo a ellas, para consultarlos, Se otorgo usuario y contraseña al AGN para corroborar el trabajo aca mensionado: ageneralnacion, clave: min123 
 La Secretaria Administrativa y el área de Gestión Documental y Archivo en la"&amp;" labor de conservar la historia propia del Municipio de Pereira en sus archivos históricos, realiza el cargue de FUID - AHMP en la plataforma MIN, la cual se resaltan 20 fondos documentales que recopilan la historia con un contenido que data desde el año "&amp;"1871, presentando la transformación del Municipio de Pereira, con los siguientes fondos:
 1.FONDO ANTIGUO DE TIERRAS
 2. FONDO ANTIGUO CONCEJO MUNICIPIO DE PEREIRA
 3. FONDO ANTIGUO ALCALDÍA DE PEREIRA
 4. FONDO CUERPO DE BOMBEROS DE PEREIRA
 5. FONDO A"&amp;"NTIGUO EMPRESAS PÚBLICAS DE PEREIRA
 6. FONDO CAJA DE PREVISIÓN SOCIAL MUNICIPAL
 7.FONDO DEPARTAMENTO DE VALORACIÓN MUNICIPAL
 8.FONDO INSTITUTO DE DESARROLLO URBANO Y DE VALORIZACIÓN MUNICIPAL - INDUVAL
 9.FONDO EMPRESA DE DESARROLLO URBANO DE PEREIRA -"&amp;" EDUP
 10.FONDO COMPAÑIA DEL MATADERO DE CERRITOS LTDA.
 11.FONDO INSTITUTO MUNICIPAL DE SALUD - IMS
 12.FONDO DE VIVIENDA POPULAR DE PEREIRA - FVP
 13.FONDO ASOCIACIÓN DE MUNICIPIOS PEREIRA -CARTAGO -A.M.P.C
 14.FONDO PLAZA DE FERIAS DE PEREIRA
 15.FONDO"&amp;" CASA CAMPESINA
 16.FONDO MULTISERVICIOS S.A.
 17.FONDO CURADURÍA URBANA DE PEREIRA
 18.FONDO INSTITUTO MUNICIPAL DE PARQUES Y ARBORIZACIÓN Y ORNATO DE PEREIRA - IMPAR
 19.FONDO INSTITUTO DE DEPORTE Y RECREACIÓN - INDER
 20. EMPRESA DE RENOVACIÓN URBN S.A"&amp;".
  posteriormente se debe dar click en el fondo correspondiente y allí elegir el documento que se descarga en formato PDF. Igualmente se han avanzado en los inventarios de los 19 fondos. Se puede tener como evidencia la siguiente imagen así como el l"&amp;"ink anteriormente citado.
 Por inconvenientes tecnológicos en el cargue de los documentos de los fondos históricos dentro de la plataforma MIN el AGN activo una herramienta para verificar la información de AHMP sharepoint el cual se evidencia el cargue "&amp;"de 236 documentos de 19 fondos Históricos del Municipio de Periera.
 Por parte de la secretaría de gestión administrativa se destinaron los recursos para ejecutar la revisión de los archivos históricos, quien se encuentra consolidando y organizando dicha "&amp;"información. Se adjuntan informes de actividades, donde se evidencia el avance de revisión en cada uno de los fondos acumulados.
 Los fondos acumulados AHMP se comenzarán a carga dentro de la plataforma MIN, para contar con la trazabilidad de la informaci"&amp;"ón que se tiene a la fecha recopilada, de igual manera se cuenta con registros fotográficos de la Sede Jose Antonio Galan, espacio que se ha venido dando organización.
 Se ha realizado cargue de información de 76 inventarios cargados en la plataforma MIN,"&amp;" pero esta plataforma ha presentado dificultades ya que no relacion el real de cargue,
 Es complejo continuar con la labora al carecer de personal para ejecutarse, y el personal para esto debe ser idoneo y con conocimientos. 
 Plataforma MIN
 http://m"&amp;"in.pereira.gov.co/alcaldia2020/index.php 
 Registro fotografico
 https://drive.google.com/drive/folders/1hqMMt8cjbsP9TcoDb8vqOiJMYQiQuG0H?usp=sharing 
 INFORME ESTADO DEL ARCHIVO HISTORICO2022
 https://drive.google.com/file/d/1ZT7YXVwhSRWwkRr7CHVP"&amp;"ANGu996Ru6v5/view?usp=sharing 
 Registro seguimiento de Archivo historico
 https://drive.google.com/file/d/1XzmJ0YUl-_Ly1p5wxbfEJuuZhBo-3M73/view?usp=sharing """)</f>
        <v>Los fondos acumulados AHMP se comenzaran a carga dentro de la plataforma MIN, segun indicaciones, con lo que se busca contar con la trazabilidad de la información que se tiene a la fecha recopilada, de igual manera se cuenta con registros fotograficos de la Sede Jose Antonio Galan, espacio que se ha venido dando organización.
 11 registros de inventario en estado natural correspondientes a los fondos de: Tierras, Antiguo Concejo Municipal de Pereira y Alcandía de Pereira. Cada uno de ellos identifica sus series y se subdividen de acuerdo a ellas, para consultarlos, Se otorgo usuario y contraseña al AGN para corroborar el trabajo aca mensionado: ageneralnacion, clave: min123 
 La Secretaria Administrativa y el área de Gestión Documental y Archivo en la labor de conservar la historia propia del Municipio de Pereira en sus archivos históricos, realiza el cargue de FUID - AHMP en la plataforma MIN, la cual se resaltan 20 fondos documentales que recopilan la historia con un contenido que data desde el año 1871, presentando la transformación del Municipio de Pereira, con los siguientes fondos:
 1.FONDO ANTIGUO DE TIERRAS
 2. FONDO ANTIGUO CONCEJO MUNICIPIO DE PEREIRA
 3. FONDO ANTIGUO ALCALDÍA DE PEREIRA
 4. FONDO CUERPO DE BOMBEROS DE PEREIRA
 5. FONDO ANTIGUO EMPRESAS PÚBLICAS DE PEREIRA
 6. FONDO CAJA DE PREVISIÓN SOCIAL MUNICIPAL
 7.FONDO DEPARTAMENTO DE VALORACIÓN MUNICIPAL
 8.FONDO INSTITUTO DE DESARROLLO URBANO Y DE VALORIZACIÓN MUNICIPAL - INDUVAL
 9.FONDO EMPRESA DE DESARROLLO URBANO DE PEREIRA - EDUP
 10.FONDO COMPAÑIA DEL MATADERO DE CERRITOS LTDA.
 11.FONDO INSTITUTO MUNICIPAL DE SALUD - IMS
 12.FONDO DE VIVIENDA POPULAR DE PEREIRA - FVP
 13.FONDO ASOCIACIÓN DE MUNICIPIOS PEREIRA -CARTAGO -A.M.P.C
 14.FONDO PLAZA DE FERIAS DE PEREIRA
 15.FONDO CASA CAMPESINA
 16.FONDO MULTISERVICIOS S.A.
 17.FONDO CURADURÍA URBANA DE PEREIRA
 18.FONDO INSTITUTO MUNICIPAL DE PARQUES Y ARBORIZACIÓN Y ORNATO DE PEREIRA - IMPAR
 19.FONDO INSTITUTO DE DEPORTE Y RECREACIÓN - INDER
 20. EMPRESA DE RENOVACIÓN URBN S.A.
  posteriormente se debe dar click en el fondo correspondiente y allí elegir el documento que se descarga en formato PDF. Igualmente se han avanzado en los inventarios de los 19 fondos. Se puede tener como evidencia la siguiente imagen así como el link anteriormente citado.
 Por inconvenientes tecnológicos en el cargue de los documentos de los fondos históricos dentro de la plataforma MIN el AGN activo una herramienta para verificar la información de AHMP sharepoint el cual se evidencia el cargue de 236 documentos de 19 fondos Históricos del Municipio de Periera.
 Por parte de la secretaría de gestión administrativa se destinaron los recursos para ejecutar la revisión de los archivos históricos, quien se encuentra consolidando y organizando dicha información. Se adjuntan informes de actividades, donde se evidencia el avance de revisión en cada uno de los fondos acumulados.
 Los fondos acumulados AHMP se comenzarán a carga dentro de la plataforma MIN, para contar con la trazabilidad de la información que se tiene a la fecha recopilada, de igual manera se cuenta con registros fotográficos de la Sede Jose Antonio Galan, espacio que se ha venido dando organización.
 Se ha realizado cargue de información de 76 inventarios cargados en la plataforma MIN, pero esta plataforma ha presentado dificultades ya que no relacion el real de cargue,
 Es complejo continuar con la labora al carecer de personal para ejecutarse, y el personal para esto debe ser idoneo y con conocimientos. 
 Plataforma MIN
 http://min.pereira.gov.co/alcaldia2020/index.php 
 Registro fotografico
 https://drive.google.com/drive/folders/1hqMMt8cjbsP9TcoDb8vqOiJMYQiQuG0H?usp=sharing 
 INFORME ESTADO DEL ARCHIVO HISTORICO2022
 https://drive.google.com/file/d/1ZT7YXVwhSRWwkRr7CHVPANGu996Ru6v5/view?usp=sharing 
 Registro seguimiento de Archivo historico
 https://drive.google.com/file/d/1XzmJ0YUl-_Ly1p5wxbfEJuuZhBo-3M73/view?usp=sharing "</v>
      </c>
      <c r="Q276" s="11">
        <f ca="1">IFERROR(__xludf.DUMMYFUNCTION("""COMPUTED_VALUE"""),44834)</f>
        <v>44834</v>
      </c>
      <c r="R276" s="12">
        <f ca="1">IFERROR(__xludf.DUMMYFUNCTION("""COMPUTED_VALUE"""),0.65)</f>
        <v>0.65</v>
      </c>
      <c r="S276" s="10" t="str">
        <f ca="1">IFERROR(__xludf.DUMMYFUNCTION("""COMPUTED_VALUE"""),"Con los inconvenientes presentados por la herramienta MIN para que los agentes externos lograrn visualizar evidencia archivistica de inventarios hisotiro y central, se determina en reunion con las TIC el Ingeniero Alejandro Usma, de ampliacion ilimitada d"&amp;"el correo institucional y desde esta oficina se crea la estructura y los hiperviculos para ser colgados en la página web de l aAlcaldia de Pereira. 
 A la fecha se tiene identificado 19 fondos de Archivo Historico 
 INFORMES HISTORIADOR 2016-2022
"&amp;" https://drive.google.com/drive/folders/15RxWWDzOxxzDiCzLQJKqmRYHag-stPd0?usp=sharing 
 INVENTARIOS
 https://drive.google.com/drive/folders/1BD2l6g7sYzBBFDlI0ghBLRiF6kC7D1An?usp=share_link")</f>
        <v>Con los inconvenientes presentados por la herramienta MIN para que los agentes externos lograrn visualizar evidencia archivistica de inventarios hisotiro y central, se determina en reunion con las TIC el Ingeniero Alejandro Usma, de ampliacion ilimitada del correo institucional y desde esta oficina se crea la estructura y los hiperviculos para ser colgados en la página web de l aAlcaldia de Pereira. 
 A la fecha se tiene identificado 19 fondos de Archivo Historico 
 INFORMES HISTORIADOR 2016-2022
 https://drive.google.com/drive/folders/15RxWWDzOxxzDiCzLQJKqmRYHag-stPd0?usp=sharing 
 INVENTARIOS
 https://drive.google.com/drive/folders/1BD2l6g7sYzBBFDlI0ghBLRiF6kC7D1An?usp=share_link</v>
      </c>
      <c r="T276" s="11">
        <f ca="1">IFERROR(__xludf.DUMMYFUNCTION("""COMPUTED_VALUE"""),44925)</f>
        <v>44925</v>
      </c>
      <c r="U276" s="10"/>
    </row>
    <row r="277" spans="1:21" ht="409.5" x14ac:dyDescent="0.2">
      <c r="A277" s="10" t="str">
        <f ca="1">IFERROR(__xludf.DUMMYFUNCTION("""COMPUTED_VALUE"""),"Información y Comunicación")</f>
        <v>Información y Comunicación</v>
      </c>
      <c r="B277" s="10" t="str">
        <f ca="1">IFERROR(__xludf.DUMMYFUNCTION("""COMPUTED_VALUE"""),"Transparencia, acceso a la información pública y lucha contra la corrupción")</f>
        <v>Transparencia, acceso a la información pública y lucha contra la corrupción</v>
      </c>
      <c r="C277" s="10" t="str">
        <f ca="1">IFERROR(__xludf.DUMMYFUNCTION("""COMPUTED_VALUE"""),"La entidad ha construido, implementado y aprobado por medio de acto administrativo el Índice de Información Reservada y Clasificada de la entidad")</f>
        <v>La entidad ha construido, implementado y aprobado por medio de acto administrativo el Índice de Información Reservada y Clasificada de la entidad</v>
      </c>
      <c r="D277" s="10" t="str">
        <f ca="1">IFERROR(__xludf.DUMMYFUNCTION("""COMPUTED_VALUE"""),"Indice de Información Clasificada y Reservada de la entidad actualizado y publicado")</f>
        <v>Indice de Información Clasificada y Reservada de la entidad actualizado y publicado</v>
      </c>
      <c r="E277" s="10" t="str">
        <f ca="1">IFERROR(__xludf.DUMMYFUNCTION("""COMPUTED_VALUE"""),"100% de actualización del Índice de Información Clasificada y Reservada")</f>
        <v>100% de actualización del Índice de Información Clasificada y Reservada</v>
      </c>
      <c r="F277" s="11">
        <f ca="1">IFERROR(__xludf.DUMMYFUNCTION("""COMPUTED_VALUE"""),44743)</f>
        <v>44743</v>
      </c>
      <c r="G277" s="11">
        <f ca="1">IFERROR(__xludf.DUMMYFUNCTION("""COMPUTED_VALUE"""),44925)</f>
        <v>44925</v>
      </c>
      <c r="H277" s="10" t="str">
        <f ca="1">IFERROR(__xludf.DUMMYFUNCTION("""COMPUTED_VALUE"""),"Secretaría Juridica (Todas las secretarías). Decreto 110 de 15 de febrero de 2018: Por medio del cual se adopta el instrumento de gestión documental denominado “Índice de información clasificada y reservada. Artículo segundo")</f>
        <v>Secretaría Juridica (Todas las secretarías). Decreto 110 de 15 de febrero de 2018: Por medio del cual se adopta el instrumento de gestión documental denominado “Índice de información clasificada y reservada. Artículo segundo</v>
      </c>
      <c r="I277" s="12">
        <f ca="1">IFERROR(__xludf.DUMMYFUNCTION("""COMPUTED_VALUE"""),0)</f>
        <v>0</v>
      </c>
      <c r="J277" s="10" t="str">
        <f ca="1">IFERROR(__xludf.DUMMYFUNCTION("""COMPUTED_VALUE"""),"En revisión de responsabilidad de actualización de la información")</f>
        <v>En revisión de responsabilidad de actualización de la información</v>
      </c>
      <c r="K277" s="11">
        <f ca="1">IFERROR(__xludf.DUMMYFUNCTION("""COMPUTED_VALUE"""),44650)</f>
        <v>44650</v>
      </c>
      <c r="L277" s="12">
        <f ca="1">IFERROR(__xludf.DUMMYFUNCTION("""COMPUTED_VALUE"""),1)</f>
        <v>1</v>
      </c>
      <c r="M277" s="10" t="str">
        <f ca="1">IFERROR(__xludf.DUMMYFUNCTION("""COMPUTED_VALUE"""),"Decreto 110 del 15 de febrero de 2018
 Por medio del cual se adopta el instrumento de gestión documental denominado ""Indice de Información clasificada y reservada""
 https://www.pereira.gov.co/documentos/60/2018-1/
 Indice de Información clasificada y "&amp;"reservada en proceso de actualización. Versión vigente:
 https://www.pereira.gov.co/documentos/558/indice-de-informacion-clasificada-y-reservada/")</f>
        <v>Decreto 110 del 15 de febrero de 2018
 Por medio del cual se adopta el instrumento de gestión documental denominado "Indice de Información clasificada y reservada"
 https://www.pereira.gov.co/documentos/60/2018-1/
 Indice de Información clasificada y reservada en proceso de actualización. Versión vigente:
 https://www.pereira.gov.co/documentos/558/indice-de-informacion-clasificada-y-reservada/</v>
      </c>
      <c r="N277" s="11">
        <f ca="1">IFERROR(__xludf.DUMMYFUNCTION("""COMPUTED_VALUE"""),44742)</f>
        <v>44742</v>
      </c>
      <c r="O277" s="12">
        <f ca="1">IFERROR(__xludf.DUMMYFUNCTION("""COMPUTED_VALUE"""),1)</f>
        <v>1</v>
      </c>
      <c r="P277" s="10" t="str">
        <f ca="1">IFERROR(__xludf.DUMMYFUNCTION("""COMPUTED_VALUE"""),"Decreto 110 del 15 de febrero de 2018
 Por medio del cual se adopta el instrumento de gestión documental denominado ""Indice de Información clasificada y reservada""
 https://www.pereira.gov.co/documentos/60/2018-1/
 Indice de Información clasificada y "&amp;"reservada en proceso de actualización. Versión vigente:
 https://www.pereira.gov.co/documentos/558/indice-de-informacion-clasificada-y-reservada/")</f>
        <v>Decreto 110 del 15 de febrero de 2018
 Por medio del cual se adopta el instrumento de gestión documental denominado "Indice de Información clasificada y reservada"
 https://www.pereira.gov.co/documentos/60/2018-1/
 Indice de Información clasificada y reservada en proceso de actualización. Versión vigente:
 https://www.pereira.gov.co/documentos/558/indice-de-informacion-clasificada-y-reservada/</v>
      </c>
      <c r="Q277" s="11">
        <f ca="1">IFERROR(__xludf.DUMMYFUNCTION("""COMPUTED_VALUE"""),44834)</f>
        <v>44834</v>
      </c>
      <c r="R277" s="12">
        <f ca="1">IFERROR(__xludf.DUMMYFUNCTION("""COMPUTED_VALUE"""),1)</f>
        <v>1</v>
      </c>
      <c r="S277" s="10" t="str">
        <f ca="1">IFERROR(__xludf.DUMMYFUNCTION("""COMPUTED_VALUE"""),"Decreto 110 del 15 de febrero de 2018
 Por medio del cual se adopta el instrumento de gestión documental denominado ""Indice de Información clasificada y reservada""
 https://www.pereira.gov.co/documentos/60/2018-1/
 Indice de Información clasificada y "&amp;"reservada en proceso de actualización. Versión vigente:
 https://www.pereira.gov.co/documentos/558/indice-de-informacion-clasificada-y-reservada/")</f>
        <v>Decreto 110 del 15 de febrero de 2018
 Por medio del cual se adopta el instrumento de gestión documental denominado "Indice de Información clasificada y reservada"
 https://www.pereira.gov.co/documentos/60/2018-1/
 Indice de Información clasificada y reservada en proceso de actualización. Versión vigente:
 https://www.pereira.gov.co/documentos/558/indice-de-informacion-clasificada-y-reservada/</v>
      </c>
      <c r="T277" s="11">
        <f ca="1">IFERROR(__xludf.DUMMYFUNCTION("""COMPUTED_VALUE"""),44925)</f>
        <v>44925</v>
      </c>
      <c r="U277" s="10"/>
    </row>
    <row r="278" spans="1:21" ht="267.75" x14ac:dyDescent="0.2">
      <c r="A278" s="10" t="str">
        <f ca="1">IFERROR(__xludf.DUMMYFUNCTION("""COMPUTED_VALUE"""),"Información y Comunicación")</f>
        <v>Información y Comunicación</v>
      </c>
      <c r="B278" s="10" t="str">
        <f ca="1">IFERROR(__xludf.DUMMYFUNCTION("""COMPUTED_VALUE"""),"Transparencia, acceso a la información pública y lucha contra la corrupción")</f>
        <v>Transparencia, acceso a la información pública y lucha contra la corrupción</v>
      </c>
      <c r="C278" s="10" t="str">
        <f ca="1">IFERROR(__xludf.DUMMYFUNCTION("""COMPUTED_VALUE"""),"La entidad ha publicado en su sitio Web de Transparencia y acceso a la información los costos de la reproducción de la información (Ej. Costo de fotocopias o de CDs etc.)")</f>
        <v>La entidad ha publicado en su sitio Web de Transparencia y acceso a la información los costos de la reproducción de la información (Ej. Costo de fotocopias o de CDs etc.)</v>
      </c>
      <c r="D278" s="10" t="str">
        <f ca="1">IFERROR(__xludf.DUMMYFUNCTION("""COMPUTED_VALUE"""),"Documento especificaciones de costos de la reproducción de la información publicado")</f>
        <v>Documento especificaciones de costos de la reproducción de la información publicado</v>
      </c>
      <c r="E278" s="10" t="str">
        <f ca="1">IFERROR(__xludf.DUMMYFUNCTION("""COMPUTED_VALUE"""),"Documento especificaciones de costos de la reproducción de la información publicado")</f>
        <v>Documento especificaciones de costos de la reproducción de la información publicado</v>
      </c>
      <c r="F278" s="11">
        <f ca="1">IFERROR(__xludf.DUMMYFUNCTION("""COMPUTED_VALUE"""),44593)</f>
        <v>44593</v>
      </c>
      <c r="G278" s="11">
        <f ca="1">IFERROR(__xludf.DUMMYFUNCTION("""COMPUTED_VALUE"""),44925)</f>
        <v>44925</v>
      </c>
      <c r="H278" s="10" t="str">
        <f ca="1">IFERROR(__xludf.DUMMYFUNCTION("""COMPUTED_VALUE"""),"Gestión Documental - Secretaría de Gestión Administrativa")</f>
        <v>Gestión Documental - Secretaría de Gestión Administrativa</v>
      </c>
      <c r="I278" s="12">
        <f ca="1">IFERROR(__xludf.DUMMYFUNCTION("""COMPUTED_VALUE"""),1)</f>
        <v>1</v>
      </c>
      <c r="J278" s="10" t="str">
        <f ca="1">IFERROR(__xludf.DUMMYFUNCTION("""COMPUTED_VALUE"""),"No se Publica en el Sitio Web ya que no se realiza ningun cobro, lo cual se corrobora en el manual de procesos y Procedimiento Aprobado el 16 de Diciembre del 2021 Por el Comite intitucional De Gestion y Desempeño Pag 29
 https://drive.google.com/file/d/1"&amp;"7Hr8xbdVO65OQfMfDm3ny9M3Li0WNkB_/view?usp=sharing")</f>
        <v>No se Publica en el Sitio Web ya que no se realiza ningun cobro, lo cual se corrobora en el manual de procesos y Procedimiento Aprobado el 16 de Diciembre del 2021 Por el Comite intitucional De Gestion y Desempeño Pag 29
 https://drive.google.com/file/d/17Hr8xbdVO65OQfMfDm3ny9M3Li0WNkB_/view?usp=sharing</v>
      </c>
      <c r="K278" s="11">
        <f ca="1">IFERROR(__xludf.DUMMYFUNCTION("""COMPUTED_VALUE"""),44650)</f>
        <v>44650</v>
      </c>
      <c r="L278" s="12">
        <f ca="1">IFERROR(__xludf.DUMMYFUNCTION("""COMPUTED_VALUE"""),1)</f>
        <v>1</v>
      </c>
      <c r="M278" s="10" t="str">
        <f ca="1">IFERROR(__xludf.DUMMYFUNCTION("""COMPUTED_VALUE"""),"Se solicita publicación bajo el SAIA 36314 del Manual de Procesos y Procedimiento. Información en la página 29. Documento disponible en https://www.pereira.gov.co/documentos/573/costos-de-reproduccion-de-informacion-publica/")</f>
        <v>Se solicita publicación bajo el SAIA 36314 del Manual de Procesos y Procedimiento. Información en la página 29. Documento disponible en https://www.pereira.gov.co/documentos/573/costos-de-reproduccion-de-informacion-publica/</v>
      </c>
      <c r="N278" s="11">
        <f ca="1">IFERROR(__xludf.DUMMYFUNCTION("""COMPUTED_VALUE"""),44742)</f>
        <v>44742</v>
      </c>
      <c r="O278" s="12">
        <f ca="1">IFERROR(__xludf.DUMMYFUNCTION("""COMPUTED_VALUE"""),1)</f>
        <v>1</v>
      </c>
      <c r="P278" s="10" t="str">
        <f ca="1">IFERROR(__xludf.DUMMYFUNCTION("""COMPUTED_VALUE"""),"Se solicita publicación bajo el SAIA 36314 del Manual de Procesos y Procedimiento. Información en la página 29.
 Documento disponible en https://www.pereira.gov.co/documentos/573/costos-de-reproduccion-de-informacion-publica/")</f>
        <v>Se solicita publicación bajo el SAIA 36314 del Manual de Procesos y Procedimiento. Información en la página 29.
 Documento disponible en https://www.pereira.gov.co/documentos/573/costos-de-reproduccion-de-informacion-publica/</v>
      </c>
      <c r="Q278" s="11">
        <f ca="1">IFERROR(__xludf.DUMMYFUNCTION("""COMPUTED_VALUE"""),44834)</f>
        <v>44834</v>
      </c>
      <c r="R278" s="12">
        <f ca="1">IFERROR(__xludf.DUMMYFUNCTION("""COMPUTED_VALUE"""),1)</f>
        <v>1</v>
      </c>
      <c r="S278" s="10" t="str">
        <f ca="1">IFERROR(__xludf.DUMMYFUNCTION("""COMPUTED_VALUE"""),"Se solicita publicación bajo el SAIA 36314 del Manual de Procesos y Procedimiento. Información en la página 29.
 Documento disponible en https://www.pereira.gov.co/documentos/573/costos-de-reproduccion-de-informacion-publica/")</f>
        <v>Se solicita publicación bajo el SAIA 36314 del Manual de Procesos y Procedimiento. Información en la página 29.
 Documento disponible en https://www.pereira.gov.co/documentos/573/costos-de-reproduccion-de-informacion-publica/</v>
      </c>
      <c r="T278" s="11">
        <f ca="1">IFERROR(__xludf.DUMMYFUNCTION("""COMPUTED_VALUE"""),44925)</f>
        <v>44925</v>
      </c>
      <c r="U278" s="10"/>
    </row>
    <row r="279" spans="1:21" ht="229.5" x14ac:dyDescent="0.2">
      <c r="A279" s="10" t="str">
        <f ca="1">IFERROR(__xludf.DUMMYFUNCTION("""COMPUTED_VALUE"""),"Información y Comunicación")</f>
        <v>Información y Comunicación</v>
      </c>
      <c r="B279" s="10" t="str">
        <f ca="1">IFERROR(__xludf.DUMMYFUNCTION("""COMPUTED_VALUE"""),"Transparencia, acceso a la información pública y lucha contra la corrupción")</f>
        <v>Transparencia, acceso a la información pública y lucha contra la corrupción</v>
      </c>
      <c r="C279" s="10" t="str">
        <f ca="1">IFERROR(__xludf.DUMMYFUNCTION("""COMPUTED_VALUE"""),"La organización ha dispuesto sus canales de comunicación de acuerdo a las necesidades de los ciudadanos que son usuarios de sus bienes y servicios, en particular para aquellos que son víctimas de la violencia, personas con discapacidad o personas pertenen"&amp;"cientes a comunidades indígenas que no hablan español")</f>
        <v>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D279" s="10" t="str">
        <f ca="1">IFERROR(__xludf.DUMMYFUNCTION("""COMPUTED_VALUE"""),"Elaborar protocolos diferenciales de servicio al ciudadano")</f>
        <v>Elaborar protocolos diferenciales de servicio al ciudadano</v>
      </c>
      <c r="E279" s="10" t="str">
        <f ca="1">IFERROR(__xludf.DUMMYFUNCTION("""COMPUTED_VALUE"""),"100% de protocolos de servicios al cliente elaborados")</f>
        <v>100% de protocolos de servicios al cliente elaborados</v>
      </c>
      <c r="F279" s="11">
        <f ca="1">IFERROR(__xludf.DUMMYFUNCTION("""COMPUTED_VALUE"""),44593)</f>
        <v>44593</v>
      </c>
      <c r="G279" s="11">
        <f ca="1">IFERROR(__xludf.DUMMYFUNCTION("""COMPUTED_VALUE"""),44925)</f>
        <v>44925</v>
      </c>
      <c r="H279" s="10" t="str">
        <f ca="1">IFERROR(__xludf.DUMMYFUNCTION("""COMPUTED_VALUE"""),"Servicio al cliente - Secretaría de Gestión Administrativa")</f>
        <v>Servicio al cliente - Secretaría de Gestión Administrativa</v>
      </c>
      <c r="I279" s="12">
        <f ca="1">IFERROR(__xludf.DUMMYFUNCTION("""COMPUTED_VALUE"""),1)</f>
        <v>1</v>
      </c>
      <c r="J279" s="14" t="str">
        <f ca="1">IFERROR(__xludf.DUMMYFUNCTION("""COMPUTED_VALUE"""),"https://docs.google.com/document/d/1RR76Z_d8brAHp96-MpatCkGK0o0MApDj/edit?usp=sharing&amp;ouid=102456040259753719878&amp;rtpof=true&amp;sd=true")</f>
        <v>https://docs.google.com/document/d/1RR76Z_d8brAHp96-MpatCkGK0o0MApDj/edit?usp=sharing&amp;ouid=102456040259753719878&amp;rtpof=true&amp;sd=true</v>
      </c>
      <c r="K279" s="11">
        <f ca="1">IFERROR(__xludf.DUMMYFUNCTION("""COMPUTED_VALUE"""),44650)</f>
        <v>44650</v>
      </c>
      <c r="L279" s="12">
        <f ca="1">IFERROR(__xludf.DUMMYFUNCTION("""COMPUTED_VALUE"""),1)</f>
        <v>1</v>
      </c>
      <c r="M279" s="14" t="str">
        <f ca="1">IFERROR(__xludf.DUMMYFUNCTION("""COMPUTED_VALUE"""),"https://docs.google.com/document/d/1RR76Z_d8brAHp96-MpatCkGK0o0MApDj/edit?usp=sharing&amp;ouid=102456040259753719878&amp;rtpof=true&amp;sd=true")</f>
        <v>https://docs.google.com/document/d/1RR76Z_d8brAHp96-MpatCkGK0o0MApDj/edit?usp=sharing&amp;ouid=102456040259753719878&amp;rtpof=true&amp;sd=true</v>
      </c>
      <c r="N279" s="11">
        <f ca="1">IFERROR(__xludf.DUMMYFUNCTION("""COMPUTED_VALUE"""),44742)</f>
        <v>44742</v>
      </c>
      <c r="O279" s="12">
        <f ca="1">IFERROR(__xludf.DUMMYFUNCTION("""COMPUTED_VALUE"""),1)</f>
        <v>1</v>
      </c>
      <c r="P279" s="14" t="str">
        <f ca="1">IFERROR(__xludf.DUMMYFUNCTION("""COMPUTED_VALUE"""),"https://docs.google.com/document/d/1RR76Z_d8brAHp96-MpatCkGK0o0MApDj/edit?usp=sharing&amp;ouid=102456040259753719878&amp;rtpof=true&amp;sd=true")</f>
        <v>https://docs.google.com/document/d/1RR76Z_d8brAHp96-MpatCkGK0o0MApDj/edit?usp=sharing&amp;ouid=102456040259753719878&amp;rtpof=true&amp;sd=true</v>
      </c>
      <c r="Q279" s="11">
        <f ca="1">IFERROR(__xludf.DUMMYFUNCTION("""COMPUTED_VALUE"""),44834)</f>
        <v>44834</v>
      </c>
      <c r="R279" s="12">
        <f ca="1">IFERROR(__xludf.DUMMYFUNCTION("""COMPUTED_VALUE"""),1)</f>
        <v>1</v>
      </c>
      <c r="S279" s="14" t="str">
        <f ca="1">IFERROR(__xludf.DUMMYFUNCTION("""COMPUTED_VALUE"""),"https://docs.google.com/document/d/1RR76Z_d8brAHp96-MpatCkGK0o0MApDj/edit?usp=sharing&amp;ouid=102456040259753719878&amp;rtpof=true&amp;sd=true")</f>
        <v>https://docs.google.com/document/d/1RR76Z_d8brAHp96-MpatCkGK0o0MApDj/edit?usp=sharing&amp;ouid=102456040259753719878&amp;rtpof=true&amp;sd=true</v>
      </c>
      <c r="T279" s="11">
        <f ca="1">IFERROR(__xludf.DUMMYFUNCTION("""COMPUTED_VALUE"""),44925)</f>
        <v>44925</v>
      </c>
      <c r="U279" s="10"/>
    </row>
    <row r="280" spans="1:21" ht="89.25" x14ac:dyDescent="0.2">
      <c r="A280" s="10" t="str">
        <f ca="1">IFERROR(__xludf.DUMMYFUNCTION("""COMPUTED_VALUE"""),"Información y Comunicación")</f>
        <v>Información y Comunicación</v>
      </c>
      <c r="B280" s="10" t="str">
        <f ca="1">IFERROR(__xludf.DUMMYFUNCTION("""COMPUTED_VALUE"""),"Transparencia, acceso a la información pública y lucha contra la corrupción")</f>
        <v>Transparencia, acceso a la información pública y lucha contra la corrupción</v>
      </c>
      <c r="C280" s="10" t="str">
        <f ca="1">IFERROR(__xludf.DUMMYFUNCTION("""COMPUTED_VALUE"""),"La entidad traduce los documentos de interés público a lenguas de comunidades indígenas presentes en el país")</f>
        <v>La entidad traduce los documentos de interés público a lenguas de comunidades indígenas presentes en el país</v>
      </c>
      <c r="D280" s="10" t="str">
        <f ca="1">IFERROR(__xludf.DUMMYFUNCTION("""COMPUTED_VALUE"""),"Documentos de interés traducidos a lengua de comunidades indígenas asentadas en el municipio de Pereira")</f>
        <v>Documentos de interés traducidos a lengua de comunidades indígenas asentadas en el municipio de Pereira</v>
      </c>
      <c r="E280" s="10" t="str">
        <f ca="1">IFERROR(__xludf.DUMMYFUNCTION("""COMPUTED_VALUE"""),"Número de documentos traducidos / Número de documentos definidos para traducir")</f>
        <v>Número de documentos traducidos / Número de documentos definidos para traducir</v>
      </c>
      <c r="F280" s="11">
        <f ca="1">IFERROR(__xludf.DUMMYFUNCTION("""COMPUTED_VALUE"""),44593)</f>
        <v>44593</v>
      </c>
      <c r="G280" s="11">
        <f ca="1">IFERROR(__xludf.DUMMYFUNCTION("""COMPUTED_VALUE"""),44925)</f>
        <v>44925</v>
      </c>
      <c r="H280" s="10" t="str">
        <f ca="1">IFERROR(__xludf.DUMMYFUNCTION("""COMPUTED_VALUE"""),"Servicio al cliente - Secretaría de Gestión Administrativa")</f>
        <v>Servicio al cliente - Secretaría de Gestión Administrativa</v>
      </c>
      <c r="I280" s="12">
        <f ca="1">IFERROR(__xludf.DUMMYFUNCTION("""COMPUTED_VALUE"""),0)</f>
        <v>0</v>
      </c>
      <c r="J280" s="10" t="str">
        <f ca="1">IFERROR(__xludf.DUMMYFUNCTION("""COMPUTED_VALUE"""),"No se tiene ningún documento traducido a lenguas de comunidades indigenas.")</f>
        <v>No se tiene ningún documento traducido a lenguas de comunidades indigenas.</v>
      </c>
      <c r="K280" s="11">
        <f ca="1">IFERROR(__xludf.DUMMYFUNCTION("""COMPUTED_VALUE"""),44650)</f>
        <v>44650</v>
      </c>
      <c r="L280" s="12">
        <f ca="1">IFERROR(__xludf.DUMMYFUNCTION("""COMPUTED_VALUE"""),0)</f>
        <v>0</v>
      </c>
      <c r="M280" s="10" t="str">
        <f ca="1">IFERROR(__xludf.DUMMYFUNCTION("""COMPUTED_VALUE"""),"No se tiene ningún documento traducido a lenguas de comunidades indigenas.")</f>
        <v>No se tiene ningún documento traducido a lenguas de comunidades indigenas.</v>
      </c>
      <c r="N280" s="11">
        <f ca="1">IFERROR(__xludf.DUMMYFUNCTION("""COMPUTED_VALUE"""),44742)</f>
        <v>44742</v>
      </c>
      <c r="O280" s="12"/>
      <c r="P280" s="10" t="str">
        <f ca="1">IFERROR(__xludf.DUMMYFUNCTION("""COMPUTED_VALUE"""),"No se tiene ningún documento traducido a lenguas de comunidades indigenas.")</f>
        <v>No se tiene ningún documento traducido a lenguas de comunidades indigenas.</v>
      </c>
      <c r="Q280" s="11">
        <f ca="1">IFERROR(__xludf.DUMMYFUNCTION("""COMPUTED_VALUE"""),44834)</f>
        <v>44834</v>
      </c>
      <c r="R280" s="12">
        <f ca="1">IFERROR(__xludf.DUMMYFUNCTION("""COMPUTED_VALUE"""),0)</f>
        <v>0</v>
      </c>
      <c r="S280" s="10" t="str">
        <f ca="1">IFERROR(__xludf.DUMMYFUNCTION("""COMPUTED_VALUE"""),"No se tiene ningún documento traducido a lenguas de comunidades indigenas.")</f>
        <v>No se tiene ningún documento traducido a lenguas de comunidades indigenas.</v>
      </c>
      <c r="T280" s="11">
        <f ca="1">IFERROR(__xludf.DUMMYFUNCTION("""COMPUTED_VALUE"""),44925)</f>
        <v>44925</v>
      </c>
      <c r="U280" s="10"/>
    </row>
    <row r="281" spans="1:21" ht="369.75" x14ac:dyDescent="0.2">
      <c r="A281" s="10" t="str">
        <f ca="1">IFERROR(__xludf.DUMMYFUNCTION("""COMPUTED_VALUE"""),"Información y Comunicación")</f>
        <v>Información y Comunicación</v>
      </c>
      <c r="B281" s="10" t="str">
        <f ca="1">IFERROR(__xludf.DUMMYFUNCTION("""COMPUTED_VALUE"""),"Transparencia, acceso a la información pública y lucha contra la corrupción")</f>
        <v>Transparencia, acceso a la información pública y lucha contra la corrupción</v>
      </c>
      <c r="C281" s="10" t="str">
        <f ca="1">IFERROR(__xludf.DUMMYFUNCTION("""COMPUTED_VALUE"""),"La entidad responde las solicitudes de información en un plazo máximo de 10 hábiles después de la recepción")</f>
        <v>La entidad responde las solicitudes de información en un plazo máximo de 10 hábiles después de la recepción</v>
      </c>
      <c r="D281" s="10" t="str">
        <f ca="1">IFERROR(__xludf.DUMMYFUNCTION("""COMPUTED_VALUE"""),"Informe solicitudes de información")</f>
        <v>Informe solicitudes de información</v>
      </c>
      <c r="E281" s="10" t="str">
        <f ca="1">IFERROR(__xludf.DUMMYFUNCTION("""COMPUTED_VALUE"""),"Número de respuestas a solicitudes de información en el tiempo establecido / Número de solicitudes de información recibidas")</f>
        <v>Número de respuestas a solicitudes de información en el tiempo establecido / Número de solicitudes de información recibidas</v>
      </c>
      <c r="F281" s="11">
        <f ca="1">IFERROR(__xludf.DUMMYFUNCTION("""COMPUTED_VALUE"""),44593)</f>
        <v>44593</v>
      </c>
      <c r="G281" s="11">
        <f ca="1">IFERROR(__xludf.DUMMYFUNCTION("""COMPUTED_VALUE"""),44925)</f>
        <v>44925</v>
      </c>
      <c r="H281" s="10" t="str">
        <f ca="1">IFERROR(__xludf.DUMMYFUNCTION("""COMPUTED_VALUE"""),"Servicio al cliente - Secretaría de Gestión Administrativa")</f>
        <v>Servicio al cliente - Secretaría de Gestión Administrativa</v>
      </c>
      <c r="I281" s="12">
        <f ca="1">IFERROR(__xludf.DUMMYFUNCTION("""COMPUTED_VALUE"""),0.5)</f>
        <v>0.5</v>
      </c>
      <c r="J281" s="10" t="str">
        <f ca="1">IFERROR(__xludf.DUMMYFUNCTION("""COMPUTED_VALUE"""),"La oficina de servicio al cliente solo reporta informes con relación a las PQRSD que ingresan al aplicativo SAIA, dejando el claro, que dicho reporte se hace de maneral global ya que la plataforma no permite realizar la diferenciación si es una solicitud "&amp;"de información o consulta.")</f>
        <v>La oficina de servicio al cliente solo reporta informes con relación a las PQRSD que ingresan al aplicativo SAIA, dejando el claro, que dicho reporte se hace de maneral global ya que la plataforma no permite realizar la diferenciación si es una solicitud de información o consulta.</v>
      </c>
      <c r="K281" s="11">
        <f ca="1">IFERROR(__xludf.DUMMYFUNCTION("""COMPUTED_VALUE"""),44650)</f>
        <v>44650</v>
      </c>
      <c r="L281" s="12">
        <f ca="1">IFERROR(__xludf.DUMMYFUNCTION("""COMPUTED_VALUE"""),0.6)</f>
        <v>0.6</v>
      </c>
      <c r="M281" s="10" t="str">
        <f ca="1">IFERROR(__xludf.DUMMYFUNCTION("""COMPUTED_VALUE"""),"La oficina de servicio al cliente solo reporta informes con relación a las PQRSD que ingresan al aplicativo SAIA, dejando el claro, que dicho reporte se hace de maneral global ya que la plataforma no permite realizar la diferenciación si es una solicitud "&amp;"de información o consulta.")</f>
        <v>La oficina de servicio al cliente solo reporta informes con relación a las PQRSD que ingresan al aplicativo SAIA, dejando el claro, que dicho reporte se hace de maneral global ya que la plataforma no permite realizar la diferenciación si es una solicitud de información o consulta.</v>
      </c>
      <c r="N281" s="11">
        <f ca="1">IFERROR(__xludf.DUMMYFUNCTION("""COMPUTED_VALUE"""),44742)</f>
        <v>44742</v>
      </c>
      <c r="O281" s="12">
        <f ca="1">IFERROR(__xludf.DUMMYFUNCTION("""COMPUTED_VALUE"""),0.75)</f>
        <v>0.75</v>
      </c>
      <c r="P281" s="10" t="str">
        <f ca="1">IFERROR(__xludf.DUMMYFUNCTION("""COMPUTED_VALUE"""),"La oficina de servicio al cliente solo reporta informes con relación a las PQRSD que ingresan al aplicativo SAIA y los derechos de petición registrado en el archivo en DRIVE, dejando en claro que, dicho reporte se hace de maneral global ya que la platafor"&amp;"ma no permite realizar la diferenciación si es una solicitud de información o consulta.")</f>
        <v>La oficina de servicio al cliente solo reporta informes con relación a las PQRSD que ingresan al aplicativo SAIA y los derechos de petición registrado en el archivo en DRIVE, dejando en claro que, dicho reporte se hace de maneral global ya que la plataforma no permite realizar la diferenciación si es una solicitud de información o consulta.</v>
      </c>
      <c r="Q281" s="11">
        <f ca="1">IFERROR(__xludf.DUMMYFUNCTION("""COMPUTED_VALUE"""),44834)</f>
        <v>44834</v>
      </c>
      <c r="R281" s="12">
        <f ca="1">IFERROR(__xludf.DUMMYFUNCTION("""COMPUTED_VALUE"""),0.85)</f>
        <v>0.85</v>
      </c>
      <c r="S281" s="10" t="str">
        <f ca="1">IFERROR(__xludf.DUMMYFUNCTION("""COMPUTED_VALUE"""),"La oficina de servicio al cliente solo reporta informes con relación a las PQRSD que ingresan al aplicativo SAIA y los derechos de petición registrado en el archivo en DRIVE, dejando en claro que, dicho reporte se hace de maneral global ya que la platafor"&amp;"ma no permite realizar la diferenciación si es una solicitud de información o consulta.")</f>
        <v>La oficina de servicio al cliente solo reporta informes con relación a las PQRSD que ingresan al aplicativo SAIA y los derechos de petición registrado en el archivo en DRIVE, dejando en claro que, dicho reporte se hace de maneral global ya que la plataforma no permite realizar la diferenciación si es una solicitud de información o consulta.</v>
      </c>
      <c r="T281" s="11">
        <f ca="1">IFERROR(__xludf.DUMMYFUNCTION("""COMPUTED_VALUE"""),44925)</f>
        <v>44925</v>
      </c>
      <c r="U281" s="10"/>
    </row>
    <row r="282" spans="1:21" ht="409.5" x14ac:dyDescent="0.2">
      <c r="A282" s="10" t="str">
        <f ca="1">IFERROR(__xludf.DUMMYFUNCTION("""COMPUTED_VALUE"""),"Información y Comunicación")</f>
        <v>Información y Comunicación</v>
      </c>
      <c r="B282" s="10" t="str">
        <f ca="1">IFERROR(__xludf.DUMMYFUNCTION("""COMPUTED_VALUE"""),"Transparencia, acceso a la información pública y lucha contra la corrupción")</f>
        <v>Transparencia, acceso a la información pública y lucha contra la corrupción</v>
      </c>
      <c r="C282" s="10" t="str">
        <f ca="1">IFERROR(__xludf.DUMMYFUNCTION("""COMPUTED_VALUE"""),"La entidad responde los derechos de petición en un plazo máximo de 15 días hábiles después de la recepción")</f>
        <v>La entidad responde los derechos de petición en un plazo máximo de 15 días hábiles después de la recepción</v>
      </c>
      <c r="D282" s="10" t="str">
        <f ca="1">IFERROR(__xludf.DUMMYFUNCTION("""COMPUTED_VALUE"""),"Informe derechos de petición")</f>
        <v>Informe derechos de petición</v>
      </c>
      <c r="E282" s="10" t="str">
        <f ca="1">IFERROR(__xludf.DUMMYFUNCTION("""COMPUTED_VALUE"""),"Número de respuestas a derechos de petición en el tiempo establecido / Número de derechos de petición recibidas")</f>
        <v>Número de respuestas a derechos de petición en el tiempo establecido / Número de derechos de petición recibidas</v>
      </c>
      <c r="F282" s="11">
        <f ca="1">IFERROR(__xludf.DUMMYFUNCTION("""COMPUTED_VALUE"""),44593)</f>
        <v>44593</v>
      </c>
      <c r="G282" s="11">
        <f ca="1">IFERROR(__xludf.DUMMYFUNCTION("""COMPUTED_VALUE"""),44925)</f>
        <v>44925</v>
      </c>
      <c r="H282" s="10" t="str">
        <f ca="1">IFERROR(__xludf.DUMMYFUNCTION("""COMPUTED_VALUE"""),"Servicio al cliente - Secretaría de Gestión Administrativa")</f>
        <v>Servicio al cliente - Secretaría de Gestión Administrativa</v>
      </c>
      <c r="I282" s="12">
        <f ca="1">IFERROR(__xludf.DUMMYFUNCTION("""COMPUTED_VALUE"""),0.5)</f>
        <v>0.5</v>
      </c>
      <c r="J282" s="10" t="str">
        <f ca="1">IFERROR(__xludf.DUMMYFUNCTION("""COMPUTED_VALUE"""),"La oficina de servicio al cliente solo reporta informes con relación a las PQRSD que ingresan al aplicativo SAIA, dejando el claro, que dicho reporte se hace de maneral global ya que la plataforma no permite realizar la diferenciación si es una solicitud "&amp;"de información o consulta. 
 Se ha habilitado la compatibilidad con lectores de pantalla.")</f>
        <v>La oficina de servicio al cliente solo reporta informes con relación a las PQRSD que ingresan al aplicativo SAIA, dejando el claro, que dicho reporte se hace de maneral global ya que la plataforma no permite realizar la diferenciación si es una solicitud de información o consulta. 
 Se ha habilitado la compatibilidad con lectores de pantalla.</v>
      </c>
      <c r="K282" s="11">
        <f ca="1">IFERROR(__xludf.DUMMYFUNCTION("""COMPUTED_VALUE"""),44650)</f>
        <v>44650</v>
      </c>
      <c r="L282" s="12">
        <f ca="1">IFERROR(__xludf.DUMMYFUNCTION("""COMPUTED_VALUE"""),0.7)</f>
        <v>0.7</v>
      </c>
      <c r="M282" s="10" t="str">
        <f ca="1">IFERROR(__xludf.DUMMYFUNCTION("""COMPUTED_VALUE"""),"A partir del mes de julio se inició el reporte de un informe mensual de los derechos de petición que ingresan a la Administración, recopilando la información que suministre cada Secretaría, dejando en claro que, dicho reporte se hace de maneral global ya "&amp;"que el formato no permite realizar la diferenciación si es una solicitud de información o consulta.")</f>
        <v>A partir del mes de julio se inició el reporte de un informe mensual de los derechos de petición que ingresan a la Administración, recopilando la información que suministre cada Secretaría, dejando en claro que, dicho reporte se hace de maneral global ya que el formato no permite realizar la diferenciación si es una solicitud de información o consulta.</v>
      </c>
      <c r="N282" s="11">
        <f ca="1">IFERROR(__xludf.DUMMYFUNCTION("""COMPUTED_VALUE"""),44742)</f>
        <v>44742</v>
      </c>
      <c r="O282" s="12">
        <f ca="1">IFERROR(__xludf.DUMMYFUNCTION("""COMPUTED_VALUE"""),0.75)</f>
        <v>0.75</v>
      </c>
      <c r="P282" s="10" t="str">
        <f ca="1">IFERROR(__xludf.DUMMYFUNCTION("""COMPUTED_VALUE"""),"A partir del mes de julio se inició el reporte de un informe mensual de los derechos de petición que ingresan a la Administración, a través de un archivo en DRIVE compartido con los enlaces de cada dependencia, recopilando la información que suministre ca"&amp;"da Secretaría, dejando en claro que, dicho reporte se hace de maneral global ya que el formato no permite realizar la diferenciación si es una solicitud de información o consulta. dichos informes se reportan mensualmente, donde se ha evidenciado que no se"&amp;" responden en su totalidad los derechos de petición en15 días.")</f>
        <v>A partir del mes de julio se inició el reporte de un informe mensual de los derechos de petición que ingresan a la Administración, a través de un archivo en DRIVE compartido con los enlaces de cada dependencia, recopilando la información que suministre cada Secretaría, dejando en claro que, dicho reporte se hace de maneral global ya que el formato no permite realizar la diferenciación si es una solicitud de información o consulta. dichos informes se reportan mensualmente, donde se ha evidenciado que no se responden en su totalidad los derechos de petición en15 días.</v>
      </c>
      <c r="Q282" s="11">
        <f ca="1">IFERROR(__xludf.DUMMYFUNCTION("""COMPUTED_VALUE"""),44834)</f>
        <v>44834</v>
      </c>
      <c r="R282" s="12">
        <f ca="1">IFERROR(__xludf.DUMMYFUNCTION("""COMPUTED_VALUE"""),0.8)</f>
        <v>0.8</v>
      </c>
      <c r="S282" s="10" t="str">
        <f ca="1">IFERROR(__xludf.DUMMYFUNCTION("""COMPUTED_VALUE"""),"A partir del mes de julio se inició el reporte de un informe mensual de los derechos de petición que ingresan a la Administración, a través de un archivo en DRIVE compartido con los enlaces de cada dependencia, recopilando la información que suministre ca"&amp;"da Secretaría, dejando en claro que, dicho reporte se hace de maneral global ya que el formato no permite realizar la diferenciación si es una solicitud de información o consulta. dichos informes se reportan mensualmente, donde se ha evidenciado que no se"&amp;" responden en su totalidad los derechos de petición en 15 días hábiles.
 Evidencia: DRIVE y SAIA")</f>
        <v>A partir del mes de julio se inició el reporte de un informe mensual de los derechos de petición que ingresan a la Administración, a través de un archivo en DRIVE compartido con los enlaces de cada dependencia, recopilando la información que suministre cada Secretaría, dejando en claro que, dicho reporte se hace de maneral global ya que el formato no permite realizar la diferenciación si es una solicitud de información o consulta. dichos informes se reportan mensualmente, donde se ha evidenciado que no se responden en su totalidad los derechos de petición en 15 días hábiles.
 Evidencia: DRIVE y SAIA</v>
      </c>
      <c r="T282" s="11">
        <f ca="1">IFERROR(__xludf.DUMMYFUNCTION("""COMPUTED_VALUE"""),44925)</f>
        <v>44925</v>
      </c>
      <c r="U282" s="10"/>
    </row>
    <row r="283" spans="1:21" ht="409.5" x14ac:dyDescent="0.2">
      <c r="A283" s="10" t="str">
        <f ca="1">IFERROR(__xludf.DUMMYFUNCTION("""COMPUTED_VALUE"""),"Información y Comunicación")</f>
        <v>Información y Comunicación</v>
      </c>
      <c r="B283" s="10" t="str">
        <f ca="1">IFERROR(__xludf.DUMMYFUNCTION("""COMPUTED_VALUE"""),"Transparencia, acceso a la información pública y lucha contra la corrupción")</f>
        <v>Transparencia, acceso a la información pública y lucha contra la corrupción</v>
      </c>
      <c r="C283" s="10" t="str">
        <f ca="1">IFERROR(__xludf.DUMMYFUNCTION("""COMPUTED_VALUE"""),"La entidad responde los derechos de petición de consulta en un plazo máximo de 30 días hábiles después de la recepción")</f>
        <v>La entidad responde los derechos de petición de consulta en un plazo máximo de 30 días hábiles después de la recepción</v>
      </c>
      <c r="D283" s="10" t="str">
        <f ca="1">IFERROR(__xludf.DUMMYFUNCTION("""COMPUTED_VALUE"""),"Informe derechos de petición de consulta")</f>
        <v>Informe derechos de petición de consulta</v>
      </c>
      <c r="E283" s="10" t="str">
        <f ca="1">IFERROR(__xludf.DUMMYFUNCTION("""COMPUTED_VALUE"""),"Número de respuestas a derechos de petición de consulta en el tiempo establecido / Número de derechos de petición de consulta recibidas")</f>
        <v>Número de respuestas a derechos de petición de consulta en el tiempo establecido / Número de derechos de petición de consulta recibidas</v>
      </c>
      <c r="F283" s="11">
        <f ca="1">IFERROR(__xludf.DUMMYFUNCTION("""COMPUTED_VALUE"""),44593)</f>
        <v>44593</v>
      </c>
      <c r="G283" s="11">
        <f ca="1">IFERROR(__xludf.DUMMYFUNCTION("""COMPUTED_VALUE"""),44925)</f>
        <v>44925</v>
      </c>
      <c r="H283" s="10" t="str">
        <f ca="1">IFERROR(__xludf.DUMMYFUNCTION("""COMPUTED_VALUE"""),"Servicio al cliente - Secretaría de Gestión Administrativa")</f>
        <v>Servicio al cliente - Secretaría de Gestión Administrativa</v>
      </c>
      <c r="I283" s="12">
        <f ca="1">IFERROR(__xludf.DUMMYFUNCTION("""COMPUTED_VALUE"""),0.5)</f>
        <v>0.5</v>
      </c>
      <c r="J283" s="10" t="str">
        <f ca="1">IFERROR(__xludf.DUMMYFUNCTION("""COMPUTED_VALUE"""),"La oficina de servicio al cliente solo reporta informes con relación a las PQRSD que ingresan al aplicativo SAIA, dejando el claro, que dicho reporte se hace de maneral global ya que la plataforma no permite realizar la diferenciación si es una solicitud "&amp;"de información o consulta. 
 Se ha habilitado la compatibilidad con lectores de pantalla.")</f>
        <v>La oficina de servicio al cliente solo reporta informes con relación a las PQRSD que ingresan al aplicativo SAIA, dejando el claro, que dicho reporte se hace de maneral global ya que la plataforma no permite realizar la diferenciación si es una solicitud de información o consulta. 
 Se ha habilitado la compatibilidad con lectores de pantalla.</v>
      </c>
      <c r="K283" s="11">
        <f ca="1">IFERROR(__xludf.DUMMYFUNCTION("""COMPUTED_VALUE"""),44650)</f>
        <v>44650</v>
      </c>
      <c r="L283" s="12">
        <f ca="1">IFERROR(__xludf.DUMMYFUNCTION("""COMPUTED_VALUE"""),0.7)</f>
        <v>0.7</v>
      </c>
      <c r="M283" s="10" t="str">
        <f ca="1">IFERROR(__xludf.DUMMYFUNCTION("""COMPUTED_VALUE"""),"A partir del mes de julio se inició el reporte de un informe mensual de los derechos de petición que ingresan a la Administración, recopilando la información que suministre cada Secretaría, dejando en claro que, dicho reporte se hace de maneral global ya "&amp;"que el formato no permite realizar la diferenciación si es una solicitud de información o consulta.")</f>
        <v>A partir del mes de julio se inició el reporte de un informe mensual de los derechos de petición que ingresan a la Administración, recopilando la información que suministre cada Secretaría, dejando en claro que, dicho reporte se hace de maneral global ya que el formato no permite realizar la diferenciación si es una solicitud de información o consulta.</v>
      </c>
      <c r="N283" s="11">
        <f ca="1">IFERROR(__xludf.DUMMYFUNCTION("""COMPUTED_VALUE"""),44742)</f>
        <v>44742</v>
      </c>
      <c r="O283" s="12">
        <f ca="1">IFERROR(__xludf.DUMMYFUNCTION("""COMPUTED_VALUE"""),0.75)</f>
        <v>0.75</v>
      </c>
      <c r="P283" s="10" t="str">
        <f ca="1">IFERROR(__xludf.DUMMYFUNCTION("""COMPUTED_VALUE"""),"A partir del mes de julio se inició el reporte de un informe mensual de los derechos de petición que ingresan a la Administración, a través de un archivo en DRIVE compartido con los enlaces de cada dependencia, recopilando la información que suministre ca"&amp;"da Secretaría, dejando en claro que, dicho reporte se hace de maneral global ya que el formato no permite realizar la diferenciación si es una solicitud de información o consulta. dichos informes se reportan mensualmente, donde se ha evidenciado que no se"&amp;" responden en su totalidad los derechos de petición en un plazo maximo de 30 días.")</f>
        <v>A partir del mes de julio se inició el reporte de un informe mensual de los derechos de petición que ingresan a la Administración, a través de un archivo en DRIVE compartido con los enlaces de cada dependencia, recopilando la información que suministre cada Secretaría, dejando en claro que, dicho reporte se hace de maneral global ya que el formato no permite realizar la diferenciación si es una solicitud de información o consulta. dichos informes se reportan mensualmente, donde se ha evidenciado que no se responden en su totalidad los derechos de petición en un plazo maximo de 30 días.</v>
      </c>
      <c r="Q283" s="11">
        <f ca="1">IFERROR(__xludf.DUMMYFUNCTION("""COMPUTED_VALUE"""),44834)</f>
        <v>44834</v>
      </c>
      <c r="R283" s="12">
        <f ca="1">IFERROR(__xludf.DUMMYFUNCTION("""COMPUTED_VALUE"""),0.8)</f>
        <v>0.8</v>
      </c>
      <c r="S283" s="10" t="str">
        <f ca="1">IFERROR(__xludf.DUMMYFUNCTION("""COMPUTED_VALUE"""),"A partir del mes de julio se inició el reporte de un informe mensual de los derechos de petición que ingresan a la Administración, a través de un archivo en DRIVE compartido con los enlaces de cada dependencia, recopilando la información que suministre ca"&amp;"da Secretaría, dejando en claro que, dicho reporte se hace de maneral global ya que el formato no permite realizar la diferenciación si es una solicitud de información o consulta. dichos informes se reportan mensualmente, donde se ha evidenciado que no se"&amp;" responden en su totalidad los derechos de petición en un plazo maximo de 30 días.
 Evidencia: Drive y SAIA.")</f>
        <v>A partir del mes de julio se inició el reporte de un informe mensual de los derechos de petición que ingresan a la Administración, a través de un archivo en DRIVE compartido con los enlaces de cada dependencia, recopilando la información que suministre cada Secretaría, dejando en claro que, dicho reporte se hace de maneral global ya que el formato no permite realizar la diferenciación si es una solicitud de información o consulta. dichos informes se reportan mensualmente, donde se ha evidenciado que no se responden en su totalidad los derechos de petición en un plazo maximo de 30 días.
 Evidencia: Drive y SAIA.</v>
      </c>
      <c r="T283" s="11">
        <f ca="1">IFERROR(__xludf.DUMMYFUNCTION("""COMPUTED_VALUE"""),44925)</f>
        <v>44925</v>
      </c>
      <c r="U283" s="10"/>
    </row>
    <row r="284" spans="1:21" ht="114.75" x14ac:dyDescent="0.2">
      <c r="A284" s="10" t="str">
        <f ca="1">IFERROR(__xludf.DUMMYFUNCTION("""COMPUTED_VALUE"""),"Información y Comunicación")</f>
        <v>Información y Comunicación</v>
      </c>
      <c r="B284" s="10" t="str">
        <f ca="1">IFERROR(__xludf.DUMMYFUNCTION("""COMPUTED_VALUE"""),"Transparencia, acceso a la información pública y lucha contra la corrupción")</f>
        <v>Transparencia, acceso a la información pública y lucha contra la corrupción</v>
      </c>
      <c r="C284" s="10" t="str">
        <f ca="1">IFERROR(__xludf.DUMMYFUNCTION("""COMPUTED_VALUE"""),"Medir la capacidad de la entidad pública para administrar los riesgos de corrupción, la identificación, análisis, evaluación, tratamiento y en general del manejo del riesgo de corrupción.")</f>
        <v>Medir la capacidad de la entidad pública para administrar los riesgos de corrupción, la identificación, análisis, evaluación, tratamiento y en general del manejo del riesgo de corrupción.</v>
      </c>
      <c r="D284" s="10" t="str">
        <f ca="1">IFERROR(__xludf.DUMMYFUNCTION("""COMPUTED_VALUE"""),"Seguimiento al mapa de riesgos de corrupción y al Plan Anticorrupción y Atención al ciudadano")</f>
        <v>Seguimiento al mapa de riesgos de corrupción y al Plan Anticorrupción y Atención al ciudadano</v>
      </c>
      <c r="E284" s="10" t="str">
        <f ca="1">IFERROR(__xludf.DUMMYFUNCTION("""COMPUTED_VALUE"""),"Número de seguimientos realizados / Número de seguimientos proyectados")</f>
        <v>Número de seguimientos realizados / Número de seguimientos proyectados</v>
      </c>
      <c r="F284" s="11">
        <f ca="1">IFERROR(__xludf.DUMMYFUNCTION("""COMPUTED_VALUE"""),44562)</f>
        <v>44562</v>
      </c>
      <c r="G284" s="11">
        <f ca="1">IFERROR(__xludf.DUMMYFUNCTION("""COMPUTED_VALUE"""),44925)</f>
        <v>44925</v>
      </c>
      <c r="H284" s="10" t="str">
        <f ca="1">IFERROR(__xludf.DUMMYFUNCTION("""COMPUTED_VALUE"""),"Oficina Asesora de Control Interno")</f>
        <v>Oficina Asesora de Control Interno</v>
      </c>
      <c r="I284" s="12">
        <f ca="1">IFERROR(__xludf.DUMMYFUNCTION("""COMPUTED_VALUE"""),0.5)</f>
        <v>0.5</v>
      </c>
      <c r="J284" s="10" t="str">
        <f ca="1">IFERROR(__xludf.DUMMYFUNCTION("""COMPUTED_VALUE"""),"La Oficina Asesora de Control Interno realiza el seguimiento del Plan Anticorrupción y Atención al ciudadano con corte al 30 de abril de 2022 de acuerdo a la normatividad vigente")</f>
        <v>La Oficina Asesora de Control Interno realiza el seguimiento del Plan Anticorrupción y Atención al ciudadano con corte al 30 de abril de 2022 de acuerdo a la normatividad vigente</v>
      </c>
      <c r="K284" s="11">
        <f ca="1">IFERROR(__xludf.DUMMYFUNCTION("""COMPUTED_VALUE"""),44650)</f>
        <v>44650</v>
      </c>
      <c r="L284" s="12">
        <f ca="1">IFERROR(__xludf.DUMMYFUNCTION("""COMPUTED_VALUE"""),1)</f>
        <v>1</v>
      </c>
      <c r="M284" s="10" t="str">
        <f ca="1">IFERROR(__xludf.DUMMYFUNCTION("""COMPUTED_VALUE"""),"La Oficina Asesora de Control Interno realizo el seguimiento del Plan Anticorrupción y Atención al ciudadano con corte al 30 de abril de 2022 https://docs.google.com/spreadsheets/d/1qkeGEmnjlwXmn3C1Tdd8Asvm4TiuHk_V/edit?rtpof=true#gid=942501897")</f>
        <v>La Oficina Asesora de Control Interno realizo el seguimiento del Plan Anticorrupción y Atención al ciudadano con corte al 30 de abril de 2022 https://docs.google.com/spreadsheets/d/1qkeGEmnjlwXmn3C1Tdd8Asvm4TiuHk_V/edit?rtpof=true#gid=942501897</v>
      </c>
      <c r="N284" s="11">
        <f ca="1">IFERROR(__xludf.DUMMYFUNCTION("""COMPUTED_VALUE"""),44742)</f>
        <v>44742</v>
      </c>
      <c r="O284" s="12">
        <f ca="1">IFERROR(__xludf.DUMMYFUNCTION("""COMPUTED_VALUE"""),1)</f>
        <v>1</v>
      </c>
      <c r="P284" s="10" t="str">
        <f ca="1">IFERROR(__xludf.DUMMYFUNCTION("""COMPUTED_VALUE"""),"Seguimientos al PAAC disponbles en: https://www.pereira.gov.co/documentos/1002/2022/")</f>
        <v>Seguimientos al PAAC disponbles en: https://www.pereira.gov.co/documentos/1002/2022/</v>
      </c>
      <c r="Q284" s="11">
        <f ca="1">IFERROR(__xludf.DUMMYFUNCTION("""COMPUTED_VALUE"""),44834)</f>
        <v>44834</v>
      </c>
      <c r="R284" s="12">
        <f ca="1">IFERROR(__xludf.DUMMYFUNCTION("""COMPUTED_VALUE"""),1)</f>
        <v>1</v>
      </c>
      <c r="S284" s="10" t="str">
        <f ca="1">IFERROR(__xludf.DUMMYFUNCTION("""COMPUTED_VALUE"""),"Seguimientos al PAAC disponbles en: https://www.pereira.gov.co/documentos/1002/2022/")</f>
        <v>Seguimientos al PAAC disponbles en: https://www.pereira.gov.co/documentos/1002/2022/</v>
      </c>
      <c r="T284" s="11">
        <f ca="1">IFERROR(__xludf.DUMMYFUNCTION("""COMPUTED_VALUE"""),44925)</f>
        <v>44925</v>
      </c>
      <c r="U284" s="10"/>
    </row>
    <row r="285" spans="1:21" ht="12.75" x14ac:dyDescent="0.2">
      <c r="A285" s="10"/>
      <c r="B285" s="10"/>
      <c r="C285" s="10"/>
      <c r="D285" s="10"/>
      <c r="E285" s="10"/>
      <c r="F285" s="10"/>
      <c r="G285" s="10"/>
      <c r="H285" s="10"/>
      <c r="I285" s="10"/>
      <c r="J285" s="10"/>
      <c r="K285" s="10"/>
      <c r="L285" s="10"/>
      <c r="M285" s="10"/>
      <c r="N285" s="10"/>
      <c r="O285" s="10"/>
      <c r="P285" s="10"/>
      <c r="Q285" s="10"/>
      <c r="R285" s="10"/>
      <c r="S285" s="10"/>
      <c r="T285" s="10"/>
      <c r="U285" s="10"/>
    </row>
    <row r="286" spans="1:21" ht="12.75" x14ac:dyDescent="0.2">
      <c r="A286" s="10"/>
      <c r="B286" s="10"/>
      <c r="C286" s="10"/>
      <c r="D286" s="10"/>
      <c r="E286" s="10"/>
      <c r="F286" s="10"/>
      <c r="G286" s="10"/>
      <c r="H286" s="10"/>
      <c r="I286" s="10"/>
      <c r="J286" s="10"/>
      <c r="K286" s="10"/>
      <c r="L286" s="10"/>
      <c r="M286" s="10"/>
      <c r="N286" s="10"/>
      <c r="O286" s="10"/>
      <c r="P286" s="10"/>
      <c r="Q286" s="10"/>
      <c r="R286" s="10"/>
      <c r="S286" s="10"/>
      <c r="T286" s="10"/>
      <c r="U286" s="10"/>
    </row>
    <row r="287" spans="1:21" ht="12.75" x14ac:dyDescent="0.2">
      <c r="A287" s="10"/>
      <c r="B287" s="10"/>
      <c r="C287" s="10"/>
      <c r="D287" s="10"/>
      <c r="E287" s="10"/>
      <c r="F287" s="10"/>
      <c r="G287" s="10"/>
      <c r="H287" s="10"/>
      <c r="I287" s="10"/>
      <c r="J287" s="10"/>
      <c r="K287" s="10"/>
      <c r="L287" s="10"/>
      <c r="M287" s="10"/>
      <c r="N287" s="10"/>
      <c r="O287" s="10"/>
      <c r="P287" s="10"/>
      <c r="Q287" s="10"/>
      <c r="R287" s="10"/>
      <c r="S287" s="10"/>
      <c r="T287" s="10"/>
      <c r="U287" s="10"/>
    </row>
    <row r="288" spans="1:21" ht="12.75" x14ac:dyDescent="0.2">
      <c r="A288" s="10"/>
      <c r="B288" s="10"/>
      <c r="C288" s="10"/>
      <c r="D288" s="10"/>
      <c r="E288" s="10"/>
      <c r="F288" s="10"/>
      <c r="G288" s="10"/>
      <c r="H288" s="10"/>
      <c r="I288" s="10"/>
      <c r="J288" s="10"/>
      <c r="K288" s="10"/>
      <c r="L288" s="10"/>
      <c r="M288" s="10"/>
      <c r="N288" s="10"/>
      <c r="O288" s="10"/>
      <c r="P288" s="10"/>
      <c r="Q288" s="10"/>
      <c r="R288" s="10"/>
      <c r="S288" s="10"/>
      <c r="T288" s="10"/>
      <c r="U288" s="10"/>
    </row>
    <row r="289" spans="1:21" ht="12.75" x14ac:dyDescent="0.2">
      <c r="A289" s="10"/>
      <c r="B289" s="10"/>
      <c r="C289" s="10"/>
      <c r="D289" s="10"/>
      <c r="E289" s="10"/>
      <c r="F289" s="10"/>
      <c r="G289" s="10"/>
      <c r="H289" s="10"/>
      <c r="I289" s="10"/>
      <c r="J289" s="10"/>
      <c r="K289" s="10"/>
      <c r="L289" s="10"/>
      <c r="M289" s="10"/>
      <c r="N289" s="10"/>
      <c r="O289" s="10"/>
      <c r="P289" s="10"/>
      <c r="Q289" s="10"/>
      <c r="R289" s="10"/>
      <c r="S289" s="10"/>
      <c r="T289" s="10"/>
      <c r="U289" s="10"/>
    </row>
    <row r="290" spans="1:21" ht="12.75" x14ac:dyDescent="0.2">
      <c r="A290" s="10"/>
      <c r="B290" s="10"/>
      <c r="C290" s="10"/>
      <c r="D290" s="10"/>
      <c r="E290" s="10"/>
      <c r="F290" s="10"/>
      <c r="G290" s="10"/>
      <c r="H290" s="10"/>
      <c r="I290" s="10"/>
      <c r="J290" s="10"/>
      <c r="K290" s="10"/>
      <c r="L290" s="10"/>
      <c r="M290" s="10"/>
      <c r="N290" s="10"/>
      <c r="O290" s="10"/>
      <c r="P290" s="10"/>
      <c r="Q290" s="10"/>
      <c r="R290" s="10"/>
      <c r="S290" s="10"/>
      <c r="T290" s="10"/>
      <c r="U290" s="10"/>
    </row>
    <row r="291" spans="1:21" ht="12.75" x14ac:dyDescent="0.2">
      <c r="A291" s="10"/>
      <c r="B291" s="10"/>
      <c r="C291" s="10"/>
      <c r="D291" s="10"/>
      <c r="E291" s="10"/>
      <c r="F291" s="10"/>
      <c r="G291" s="10"/>
      <c r="H291" s="10"/>
      <c r="I291" s="10"/>
      <c r="J291" s="10"/>
      <c r="K291" s="10"/>
      <c r="L291" s="10"/>
      <c r="M291" s="10"/>
      <c r="N291" s="10"/>
      <c r="O291" s="10"/>
      <c r="P291" s="10"/>
      <c r="Q291" s="10"/>
      <c r="R291" s="10"/>
      <c r="S291" s="10"/>
      <c r="T291" s="10"/>
      <c r="U291" s="10"/>
    </row>
    <row r="292" spans="1:21" ht="12.75" x14ac:dyDescent="0.2">
      <c r="A292" s="10"/>
      <c r="B292" s="10"/>
      <c r="C292" s="10"/>
      <c r="D292" s="10"/>
      <c r="E292" s="10"/>
      <c r="F292" s="10"/>
      <c r="G292" s="10"/>
      <c r="H292" s="10"/>
      <c r="I292" s="10"/>
      <c r="J292" s="10"/>
      <c r="K292" s="10"/>
      <c r="L292" s="10"/>
      <c r="M292" s="10"/>
      <c r="N292" s="10"/>
      <c r="O292" s="10"/>
      <c r="P292" s="10"/>
      <c r="Q292" s="10"/>
      <c r="R292" s="10"/>
      <c r="S292" s="10"/>
      <c r="T292" s="10"/>
      <c r="U292" s="10"/>
    </row>
    <row r="293" spans="1:21" ht="12.75" x14ac:dyDescent="0.2">
      <c r="A293" s="10"/>
      <c r="B293" s="10"/>
      <c r="C293" s="10"/>
      <c r="D293" s="10"/>
      <c r="E293" s="10"/>
      <c r="F293" s="10"/>
      <c r="G293" s="10"/>
      <c r="H293" s="10"/>
      <c r="I293" s="10"/>
      <c r="J293" s="10"/>
      <c r="K293" s="10"/>
      <c r="L293" s="10"/>
      <c r="M293" s="10"/>
      <c r="N293" s="10"/>
      <c r="O293" s="10"/>
      <c r="P293" s="10"/>
      <c r="Q293" s="10"/>
      <c r="R293" s="10"/>
      <c r="S293" s="10"/>
      <c r="T293" s="10"/>
      <c r="U293" s="10"/>
    </row>
    <row r="294" spans="1:21" ht="12.75" x14ac:dyDescent="0.2">
      <c r="A294" s="10"/>
      <c r="B294" s="10"/>
      <c r="C294" s="10"/>
      <c r="D294" s="10"/>
      <c r="E294" s="10"/>
      <c r="F294" s="10"/>
      <c r="G294" s="10"/>
      <c r="H294" s="10"/>
      <c r="I294" s="10"/>
      <c r="J294" s="10"/>
      <c r="K294" s="10"/>
      <c r="L294" s="10"/>
      <c r="M294" s="10"/>
      <c r="N294" s="10"/>
      <c r="O294" s="10"/>
      <c r="P294" s="10"/>
      <c r="Q294" s="10"/>
      <c r="R294" s="10"/>
      <c r="S294" s="10"/>
      <c r="T294" s="10"/>
      <c r="U294" s="10"/>
    </row>
    <row r="295" spans="1:21" ht="12.75" x14ac:dyDescent="0.2">
      <c r="A295" s="10"/>
      <c r="B295" s="10"/>
      <c r="C295" s="10"/>
      <c r="D295" s="10"/>
      <c r="E295" s="10"/>
      <c r="F295" s="10"/>
      <c r="G295" s="10"/>
      <c r="H295" s="10"/>
      <c r="I295" s="10"/>
      <c r="J295" s="10"/>
      <c r="K295" s="10"/>
      <c r="L295" s="10"/>
      <c r="M295" s="10"/>
      <c r="N295" s="10"/>
      <c r="O295" s="10"/>
      <c r="P295" s="10"/>
      <c r="Q295" s="10"/>
      <c r="R295" s="10"/>
      <c r="S295" s="10"/>
      <c r="T295" s="10"/>
      <c r="U295" s="10"/>
    </row>
    <row r="296" spans="1:21" ht="12.75" x14ac:dyDescent="0.2">
      <c r="A296" s="10"/>
      <c r="B296" s="10"/>
      <c r="C296" s="10"/>
      <c r="D296" s="10"/>
      <c r="E296" s="10"/>
      <c r="F296" s="10"/>
      <c r="G296" s="10"/>
      <c r="H296" s="10"/>
      <c r="I296" s="10"/>
      <c r="J296" s="10"/>
      <c r="K296" s="10"/>
      <c r="L296" s="10"/>
      <c r="M296" s="10"/>
      <c r="N296" s="10"/>
      <c r="O296" s="10"/>
      <c r="P296" s="10"/>
      <c r="Q296" s="10"/>
      <c r="R296" s="10"/>
      <c r="S296" s="10"/>
      <c r="T296" s="10"/>
      <c r="U296" s="10"/>
    </row>
    <row r="297" spans="1:21" ht="12.75" x14ac:dyDescent="0.2">
      <c r="A297" s="10"/>
      <c r="B297" s="10"/>
      <c r="C297" s="10"/>
      <c r="D297" s="10"/>
      <c r="E297" s="10"/>
      <c r="F297" s="10"/>
      <c r="G297" s="10"/>
      <c r="H297" s="10"/>
      <c r="I297" s="10"/>
      <c r="J297" s="10"/>
      <c r="K297" s="10"/>
      <c r="L297" s="10"/>
      <c r="M297" s="10"/>
      <c r="N297" s="10"/>
      <c r="O297" s="10"/>
      <c r="P297" s="10"/>
      <c r="Q297" s="10"/>
      <c r="R297" s="10"/>
      <c r="S297" s="10"/>
      <c r="T297" s="10"/>
      <c r="U297" s="10"/>
    </row>
    <row r="298" spans="1:21" ht="12.75" x14ac:dyDescent="0.2">
      <c r="A298" s="10"/>
      <c r="B298" s="10"/>
      <c r="C298" s="10"/>
      <c r="D298" s="10"/>
      <c r="E298" s="10"/>
      <c r="F298" s="10"/>
      <c r="G298" s="10"/>
      <c r="H298" s="10"/>
      <c r="I298" s="10"/>
      <c r="J298" s="10"/>
      <c r="K298" s="10"/>
      <c r="L298" s="10"/>
      <c r="M298" s="10"/>
      <c r="N298" s="10"/>
      <c r="O298" s="10"/>
      <c r="P298" s="10"/>
      <c r="Q298" s="10"/>
      <c r="R298" s="10"/>
      <c r="S298" s="10"/>
      <c r="T298" s="10"/>
      <c r="U298" s="10"/>
    </row>
    <row r="299" spans="1:21" ht="12.75" x14ac:dyDescent="0.2">
      <c r="A299" s="10"/>
      <c r="B299" s="10"/>
      <c r="C299" s="10"/>
      <c r="D299" s="10"/>
      <c r="E299" s="10"/>
      <c r="F299" s="10"/>
      <c r="G299" s="10"/>
      <c r="H299" s="10"/>
      <c r="I299" s="10"/>
      <c r="J299" s="10"/>
      <c r="K299" s="10"/>
      <c r="L299" s="10"/>
      <c r="M299" s="10"/>
      <c r="N299" s="10"/>
      <c r="O299" s="10"/>
      <c r="P299" s="10"/>
      <c r="Q299" s="10"/>
      <c r="R299" s="10"/>
      <c r="S299" s="10"/>
      <c r="T299" s="10"/>
      <c r="U299" s="10"/>
    </row>
    <row r="300" spans="1:21" ht="12.75" x14ac:dyDescent="0.2">
      <c r="A300" s="10"/>
      <c r="B300" s="10"/>
      <c r="C300" s="10"/>
      <c r="D300" s="10"/>
      <c r="E300" s="10"/>
      <c r="F300" s="10"/>
      <c r="G300" s="10"/>
      <c r="H300" s="10"/>
      <c r="I300" s="10"/>
      <c r="J300" s="10"/>
      <c r="K300" s="10"/>
      <c r="L300" s="10"/>
      <c r="M300" s="10"/>
      <c r="N300" s="10"/>
      <c r="O300" s="10"/>
      <c r="P300" s="10"/>
      <c r="Q300" s="10"/>
      <c r="R300" s="10"/>
      <c r="S300" s="10"/>
      <c r="T300" s="10"/>
      <c r="U300" s="10"/>
    </row>
    <row r="301" spans="1:21" ht="12.75" x14ac:dyDescent="0.2">
      <c r="A301" s="10"/>
      <c r="B301" s="10"/>
      <c r="C301" s="10"/>
      <c r="D301" s="10"/>
      <c r="E301" s="10"/>
      <c r="F301" s="10"/>
      <c r="G301" s="10"/>
      <c r="H301" s="10"/>
      <c r="I301" s="10"/>
      <c r="J301" s="10"/>
      <c r="K301" s="10"/>
      <c r="L301" s="10"/>
      <c r="M301" s="10"/>
      <c r="N301" s="10"/>
      <c r="O301" s="10"/>
      <c r="P301" s="10"/>
      <c r="Q301" s="10"/>
      <c r="R301" s="10"/>
      <c r="S301" s="10"/>
      <c r="T301" s="10"/>
      <c r="U301" s="10"/>
    </row>
    <row r="302" spans="1:21" ht="12.75" x14ac:dyDescent="0.2">
      <c r="A302" s="10"/>
      <c r="B302" s="10"/>
      <c r="C302" s="10"/>
      <c r="D302" s="10"/>
      <c r="E302" s="10"/>
      <c r="F302" s="10"/>
      <c r="G302" s="10"/>
      <c r="H302" s="10"/>
      <c r="I302" s="10"/>
      <c r="J302" s="10"/>
      <c r="K302" s="10"/>
      <c r="L302" s="10"/>
      <c r="M302" s="10"/>
      <c r="N302" s="10"/>
      <c r="O302" s="10"/>
      <c r="P302" s="10"/>
      <c r="Q302" s="10"/>
      <c r="R302" s="10"/>
      <c r="S302" s="10"/>
      <c r="T302" s="10"/>
      <c r="U302" s="10"/>
    </row>
    <row r="303" spans="1:21" ht="12.75" x14ac:dyDescent="0.2">
      <c r="A303" s="10"/>
      <c r="B303" s="10"/>
      <c r="C303" s="10"/>
      <c r="D303" s="10"/>
      <c r="E303" s="10"/>
      <c r="F303" s="10"/>
      <c r="G303" s="10"/>
      <c r="H303" s="10"/>
      <c r="I303" s="10"/>
      <c r="J303" s="10"/>
      <c r="K303" s="10"/>
      <c r="L303" s="10"/>
      <c r="M303" s="10"/>
      <c r="N303" s="10"/>
      <c r="O303" s="10"/>
      <c r="P303" s="10"/>
      <c r="Q303" s="10"/>
      <c r="R303" s="10"/>
      <c r="S303" s="10"/>
      <c r="T303" s="10"/>
      <c r="U303" s="10"/>
    </row>
    <row r="304" spans="1:21" ht="12.75" x14ac:dyDescent="0.2">
      <c r="A304" s="10"/>
      <c r="B304" s="10"/>
      <c r="C304" s="10"/>
      <c r="D304" s="10"/>
      <c r="E304" s="10"/>
      <c r="F304" s="10"/>
      <c r="G304" s="10"/>
      <c r="H304" s="10"/>
      <c r="I304" s="10"/>
      <c r="J304" s="10"/>
      <c r="K304" s="10"/>
      <c r="L304" s="10"/>
      <c r="M304" s="10"/>
      <c r="N304" s="10"/>
      <c r="O304" s="10"/>
      <c r="P304" s="10"/>
      <c r="Q304" s="10"/>
      <c r="R304" s="10"/>
      <c r="S304" s="10"/>
      <c r="T304" s="10"/>
      <c r="U304" s="10"/>
    </row>
    <row r="305" spans="1:21" ht="12.75" x14ac:dyDescent="0.2">
      <c r="A305" s="10"/>
      <c r="B305" s="10"/>
      <c r="C305" s="10"/>
      <c r="D305" s="10"/>
      <c r="E305" s="10"/>
      <c r="F305" s="10"/>
      <c r="G305" s="10"/>
      <c r="H305" s="10"/>
      <c r="I305" s="10"/>
      <c r="J305" s="10"/>
      <c r="K305" s="10"/>
      <c r="L305" s="10"/>
      <c r="M305" s="10"/>
      <c r="N305" s="10"/>
      <c r="O305" s="10"/>
      <c r="P305" s="10"/>
      <c r="Q305" s="10"/>
      <c r="R305" s="10"/>
      <c r="S305" s="10"/>
      <c r="T305" s="10"/>
      <c r="U305" s="10"/>
    </row>
    <row r="306" spans="1:21" ht="12.75" x14ac:dyDescent="0.2">
      <c r="A306" s="10"/>
      <c r="B306" s="10"/>
      <c r="C306" s="10"/>
      <c r="D306" s="10"/>
      <c r="E306" s="10"/>
      <c r="F306" s="10"/>
      <c r="G306" s="10"/>
      <c r="H306" s="10"/>
      <c r="I306" s="10"/>
      <c r="J306" s="10"/>
      <c r="K306" s="10"/>
      <c r="L306" s="10"/>
      <c r="M306" s="10"/>
      <c r="N306" s="10"/>
      <c r="O306" s="10"/>
      <c r="P306" s="10"/>
      <c r="Q306" s="10"/>
      <c r="R306" s="10"/>
      <c r="S306" s="10"/>
      <c r="T306" s="10"/>
      <c r="U306" s="10"/>
    </row>
    <row r="307" spans="1:21" ht="12.75" x14ac:dyDescent="0.2">
      <c r="A307" s="10"/>
      <c r="B307" s="10"/>
      <c r="C307" s="10"/>
      <c r="D307" s="10"/>
      <c r="E307" s="10"/>
      <c r="F307" s="10"/>
      <c r="G307" s="10"/>
      <c r="H307" s="10"/>
      <c r="I307" s="10"/>
      <c r="J307" s="10"/>
      <c r="K307" s="10"/>
      <c r="L307" s="10"/>
      <c r="M307" s="10"/>
      <c r="N307" s="10"/>
      <c r="O307" s="10"/>
      <c r="P307" s="10"/>
      <c r="Q307" s="10"/>
      <c r="R307" s="10"/>
      <c r="S307" s="10"/>
      <c r="T307" s="10"/>
      <c r="U307" s="10"/>
    </row>
    <row r="308" spans="1:21" ht="12.75" x14ac:dyDescent="0.2">
      <c r="A308" s="10"/>
      <c r="B308" s="10"/>
      <c r="C308" s="10"/>
      <c r="D308" s="10"/>
      <c r="E308" s="10"/>
      <c r="F308" s="10"/>
      <c r="G308" s="10"/>
      <c r="H308" s="10"/>
      <c r="I308" s="10"/>
      <c r="J308" s="10"/>
      <c r="K308" s="10"/>
      <c r="L308" s="10"/>
      <c r="M308" s="10"/>
      <c r="N308" s="10"/>
      <c r="O308" s="10"/>
      <c r="P308" s="10"/>
      <c r="Q308" s="10"/>
      <c r="R308" s="10"/>
      <c r="S308" s="10"/>
      <c r="T308" s="10"/>
      <c r="U308" s="10"/>
    </row>
    <row r="309" spans="1:21" ht="12.75" x14ac:dyDescent="0.2">
      <c r="A309" s="10"/>
      <c r="B309" s="10"/>
      <c r="C309" s="10"/>
      <c r="D309" s="10"/>
      <c r="E309" s="10"/>
      <c r="F309" s="10"/>
      <c r="G309" s="10"/>
      <c r="H309" s="10"/>
      <c r="I309" s="10"/>
      <c r="J309" s="10"/>
      <c r="K309" s="10"/>
      <c r="L309" s="10"/>
      <c r="M309" s="10"/>
      <c r="N309" s="10"/>
      <c r="O309" s="10"/>
      <c r="P309" s="10"/>
      <c r="Q309" s="10"/>
      <c r="R309" s="10"/>
      <c r="S309" s="10"/>
      <c r="T309" s="10"/>
      <c r="U309" s="10"/>
    </row>
    <row r="310" spans="1:21" ht="12.75" x14ac:dyDescent="0.2">
      <c r="A310" s="10"/>
      <c r="B310" s="10"/>
      <c r="C310" s="10"/>
      <c r="D310" s="10"/>
      <c r="E310" s="10"/>
      <c r="F310" s="10"/>
      <c r="G310" s="10"/>
      <c r="H310" s="10"/>
      <c r="I310" s="10"/>
      <c r="J310" s="10"/>
      <c r="K310" s="10"/>
      <c r="L310" s="10"/>
      <c r="M310" s="10"/>
      <c r="N310" s="10"/>
      <c r="O310" s="10"/>
      <c r="P310" s="10"/>
      <c r="Q310" s="10"/>
      <c r="R310" s="10"/>
      <c r="S310" s="10"/>
      <c r="T310" s="10"/>
      <c r="U310" s="10"/>
    </row>
    <row r="311" spans="1:21" ht="12.75" x14ac:dyDescent="0.2">
      <c r="A311" s="10"/>
      <c r="B311" s="10"/>
      <c r="C311" s="10"/>
      <c r="D311" s="10"/>
      <c r="E311" s="10"/>
      <c r="F311" s="10"/>
      <c r="G311" s="10"/>
      <c r="H311" s="10"/>
      <c r="I311" s="10"/>
      <c r="J311" s="10"/>
      <c r="K311" s="10"/>
      <c r="L311" s="10"/>
      <c r="M311" s="10"/>
      <c r="N311" s="10"/>
      <c r="O311" s="10"/>
      <c r="P311" s="10"/>
      <c r="Q311" s="10"/>
      <c r="R311" s="10"/>
      <c r="S311" s="10"/>
      <c r="T311" s="10"/>
      <c r="U311" s="10"/>
    </row>
    <row r="312" spans="1:21" ht="12.75" x14ac:dyDescent="0.2">
      <c r="A312" s="10"/>
      <c r="B312" s="10"/>
      <c r="C312" s="10"/>
      <c r="D312" s="10"/>
      <c r="E312" s="10"/>
      <c r="F312" s="10"/>
      <c r="G312" s="10"/>
      <c r="H312" s="10"/>
      <c r="I312" s="10"/>
      <c r="J312" s="10"/>
      <c r="K312" s="10"/>
      <c r="L312" s="10"/>
      <c r="M312" s="10"/>
      <c r="N312" s="10"/>
      <c r="O312" s="10"/>
      <c r="P312" s="10"/>
      <c r="Q312" s="10"/>
      <c r="R312" s="10"/>
      <c r="S312" s="10"/>
      <c r="T312" s="10"/>
      <c r="U312" s="10"/>
    </row>
    <row r="313" spans="1:21" ht="12.75" x14ac:dyDescent="0.2">
      <c r="A313" s="10"/>
      <c r="B313" s="10"/>
      <c r="C313" s="10"/>
      <c r="D313" s="10"/>
      <c r="E313" s="10"/>
      <c r="F313" s="10"/>
      <c r="G313" s="10"/>
      <c r="H313" s="10"/>
      <c r="I313" s="10"/>
      <c r="J313" s="10"/>
      <c r="K313" s="10"/>
      <c r="L313" s="10"/>
      <c r="M313" s="10"/>
      <c r="N313" s="10"/>
      <c r="O313" s="10"/>
      <c r="P313" s="10"/>
      <c r="Q313" s="10"/>
      <c r="R313" s="10"/>
      <c r="S313" s="10"/>
      <c r="T313" s="10"/>
      <c r="U313" s="10"/>
    </row>
    <row r="314" spans="1:21" ht="12.75" x14ac:dyDescent="0.2">
      <c r="A314" s="10"/>
      <c r="B314" s="10"/>
      <c r="C314" s="10"/>
      <c r="D314" s="10"/>
      <c r="E314" s="10"/>
      <c r="F314" s="10"/>
      <c r="G314" s="10"/>
      <c r="H314" s="10"/>
      <c r="I314" s="10"/>
      <c r="J314" s="10"/>
      <c r="K314" s="10"/>
      <c r="L314" s="10"/>
      <c r="M314" s="10"/>
      <c r="N314" s="10"/>
      <c r="O314" s="10"/>
      <c r="P314" s="10"/>
      <c r="Q314" s="10"/>
      <c r="R314" s="10"/>
      <c r="S314" s="10"/>
      <c r="T314" s="10"/>
      <c r="U314" s="10"/>
    </row>
    <row r="315" spans="1:21" ht="12.75" x14ac:dyDescent="0.2">
      <c r="A315" s="10"/>
      <c r="B315" s="10"/>
      <c r="C315" s="10"/>
      <c r="D315" s="10"/>
      <c r="E315" s="10"/>
      <c r="F315" s="10"/>
      <c r="G315" s="10"/>
      <c r="H315" s="10"/>
      <c r="I315" s="10"/>
      <c r="J315" s="10"/>
      <c r="K315" s="10"/>
      <c r="L315" s="10"/>
      <c r="M315" s="10"/>
      <c r="N315" s="10"/>
      <c r="O315" s="10"/>
      <c r="P315" s="10"/>
      <c r="Q315" s="10"/>
      <c r="R315" s="10"/>
      <c r="S315" s="10"/>
      <c r="T315" s="10"/>
      <c r="U315" s="10"/>
    </row>
    <row r="316" spans="1:21" ht="12.75" x14ac:dyDescent="0.2">
      <c r="A316" s="10"/>
      <c r="B316" s="10"/>
      <c r="C316" s="10"/>
      <c r="D316" s="10"/>
      <c r="E316" s="10"/>
      <c r="F316" s="10"/>
      <c r="G316" s="10"/>
      <c r="H316" s="10"/>
      <c r="I316" s="10"/>
      <c r="J316" s="10"/>
      <c r="K316" s="10"/>
      <c r="L316" s="10"/>
      <c r="M316" s="10"/>
      <c r="N316" s="10"/>
      <c r="O316" s="10"/>
      <c r="P316" s="10"/>
      <c r="Q316" s="10"/>
      <c r="R316" s="10"/>
      <c r="S316" s="10"/>
      <c r="T316" s="10"/>
      <c r="U316" s="10"/>
    </row>
    <row r="317" spans="1:21" ht="12.75" x14ac:dyDescent="0.2">
      <c r="A317" s="10"/>
      <c r="B317" s="10"/>
      <c r="C317" s="10"/>
      <c r="D317" s="10"/>
      <c r="E317" s="10"/>
      <c r="F317" s="10"/>
      <c r="G317" s="10"/>
      <c r="H317" s="10"/>
      <c r="I317" s="10"/>
      <c r="J317" s="10"/>
      <c r="K317" s="10"/>
      <c r="L317" s="10"/>
      <c r="M317" s="10"/>
      <c r="N317" s="10"/>
      <c r="O317" s="10"/>
      <c r="P317" s="10"/>
      <c r="Q317" s="10"/>
      <c r="R317" s="10"/>
      <c r="S317" s="10"/>
      <c r="T317" s="10"/>
      <c r="U317" s="10"/>
    </row>
    <row r="318" spans="1:21" ht="12.75" x14ac:dyDescent="0.2">
      <c r="A318" s="10"/>
      <c r="B318" s="10"/>
      <c r="C318" s="10"/>
      <c r="D318" s="10"/>
      <c r="E318" s="10"/>
      <c r="F318" s="10"/>
      <c r="G318" s="10"/>
      <c r="H318" s="10"/>
      <c r="I318" s="10"/>
      <c r="J318" s="10"/>
      <c r="K318" s="10"/>
      <c r="L318" s="10"/>
      <c r="M318" s="10"/>
      <c r="N318" s="10"/>
      <c r="O318" s="10"/>
      <c r="P318" s="10"/>
      <c r="Q318" s="10"/>
      <c r="R318" s="10"/>
      <c r="S318" s="10"/>
      <c r="T318" s="10"/>
      <c r="U318" s="10"/>
    </row>
    <row r="319" spans="1:21" ht="12.75" x14ac:dyDescent="0.2">
      <c r="A319" s="10"/>
      <c r="B319" s="10"/>
      <c r="C319" s="10"/>
      <c r="D319" s="10"/>
      <c r="E319" s="10"/>
      <c r="F319" s="10"/>
      <c r="G319" s="10"/>
      <c r="H319" s="10"/>
      <c r="I319" s="10"/>
      <c r="J319" s="10"/>
      <c r="K319" s="10"/>
      <c r="L319" s="10"/>
      <c r="M319" s="10"/>
      <c r="N319" s="10"/>
      <c r="O319" s="10"/>
      <c r="P319" s="10"/>
      <c r="Q319" s="10"/>
      <c r="R319" s="10"/>
      <c r="S319" s="10"/>
      <c r="T319" s="10"/>
      <c r="U319" s="10"/>
    </row>
    <row r="320" spans="1:21" ht="12.75" x14ac:dyDescent="0.2">
      <c r="A320" s="10"/>
      <c r="B320" s="10"/>
      <c r="C320" s="10"/>
      <c r="D320" s="10"/>
      <c r="E320" s="10"/>
      <c r="F320" s="10"/>
      <c r="G320" s="10"/>
      <c r="H320" s="10"/>
      <c r="I320" s="10"/>
      <c r="J320" s="10"/>
      <c r="K320" s="10"/>
      <c r="L320" s="10"/>
      <c r="M320" s="10"/>
      <c r="N320" s="10"/>
      <c r="O320" s="10"/>
      <c r="P320" s="10"/>
      <c r="Q320" s="10"/>
      <c r="R320" s="10"/>
      <c r="S320" s="10"/>
      <c r="T320" s="10"/>
      <c r="U320" s="10"/>
    </row>
    <row r="321" spans="1:21" ht="12.75" x14ac:dyDescent="0.2">
      <c r="A321" s="10"/>
      <c r="B321" s="10"/>
      <c r="C321" s="10"/>
      <c r="D321" s="10"/>
      <c r="E321" s="10"/>
      <c r="F321" s="10"/>
      <c r="G321" s="10"/>
      <c r="H321" s="10"/>
      <c r="I321" s="10"/>
      <c r="J321" s="10"/>
      <c r="K321" s="10"/>
      <c r="L321" s="10"/>
      <c r="M321" s="10"/>
      <c r="N321" s="10"/>
      <c r="O321" s="10"/>
      <c r="P321" s="10"/>
      <c r="Q321" s="10"/>
      <c r="R321" s="10"/>
      <c r="S321" s="10"/>
      <c r="T321" s="10"/>
      <c r="U321" s="10"/>
    </row>
    <row r="322" spans="1:21" ht="12.75" x14ac:dyDescent="0.2">
      <c r="A322" s="10"/>
      <c r="B322" s="10"/>
      <c r="C322" s="10"/>
      <c r="D322" s="10"/>
      <c r="E322" s="10"/>
      <c r="F322" s="10"/>
      <c r="G322" s="10"/>
      <c r="H322" s="10"/>
      <c r="I322" s="10"/>
      <c r="J322" s="10"/>
      <c r="K322" s="10"/>
      <c r="L322" s="10"/>
      <c r="M322" s="10"/>
      <c r="N322" s="10"/>
      <c r="O322" s="10"/>
      <c r="P322" s="10"/>
      <c r="Q322" s="10"/>
      <c r="R322" s="10"/>
      <c r="S322" s="10"/>
      <c r="T322" s="10"/>
      <c r="U322" s="10"/>
    </row>
    <row r="323" spans="1:21" ht="12.75" x14ac:dyDescent="0.2">
      <c r="A323" s="10"/>
      <c r="B323" s="10"/>
      <c r="C323" s="10"/>
      <c r="D323" s="10"/>
      <c r="E323" s="10"/>
      <c r="F323" s="10"/>
      <c r="G323" s="10"/>
      <c r="H323" s="10"/>
      <c r="I323" s="10"/>
      <c r="J323" s="10"/>
      <c r="K323" s="10"/>
      <c r="L323" s="10"/>
      <c r="M323" s="10"/>
      <c r="N323" s="10"/>
      <c r="O323" s="10"/>
      <c r="P323" s="10"/>
      <c r="Q323" s="10"/>
      <c r="R323" s="10"/>
      <c r="S323" s="10"/>
      <c r="T323" s="10"/>
      <c r="U323" s="10"/>
    </row>
    <row r="324" spans="1:21" ht="12.75" x14ac:dyDescent="0.2">
      <c r="A324" s="10"/>
      <c r="B324" s="10"/>
      <c r="C324" s="10"/>
      <c r="D324" s="10"/>
      <c r="E324" s="10"/>
      <c r="F324" s="10"/>
      <c r="G324" s="10"/>
      <c r="H324" s="10"/>
      <c r="I324" s="10"/>
      <c r="J324" s="10"/>
      <c r="K324" s="10"/>
      <c r="L324" s="10"/>
      <c r="M324" s="10"/>
      <c r="N324" s="10"/>
      <c r="O324" s="10"/>
      <c r="P324" s="10"/>
      <c r="Q324" s="10"/>
      <c r="R324" s="10"/>
      <c r="S324" s="10"/>
      <c r="T324" s="10"/>
      <c r="U324" s="10"/>
    </row>
    <row r="325" spans="1:21" ht="12.75" x14ac:dyDescent="0.2">
      <c r="A325" s="10"/>
      <c r="B325" s="10"/>
      <c r="C325" s="10"/>
      <c r="D325" s="10"/>
      <c r="E325" s="10"/>
      <c r="F325" s="10"/>
      <c r="G325" s="10"/>
      <c r="H325" s="10"/>
      <c r="I325" s="10"/>
      <c r="J325" s="10"/>
      <c r="K325" s="10"/>
      <c r="L325" s="10"/>
      <c r="M325" s="10"/>
      <c r="N325" s="10"/>
      <c r="O325" s="10"/>
      <c r="P325" s="10"/>
      <c r="Q325" s="10"/>
      <c r="R325" s="10"/>
      <c r="S325" s="10"/>
      <c r="T325" s="10"/>
      <c r="U325" s="10"/>
    </row>
    <row r="326" spans="1:21" ht="12.75" x14ac:dyDescent="0.2">
      <c r="A326" s="10"/>
      <c r="B326" s="10"/>
      <c r="C326" s="10"/>
      <c r="D326" s="10"/>
      <c r="E326" s="10"/>
      <c r="F326" s="10"/>
      <c r="G326" s="10"/>
      <c r="H326" s="10"/>
      <c r="I326" s="10"/>
      <c r="J326" s="10"/>
      <c r="K326" s="10"/>
      <c r="L326" s="10"/>
      <c r="M326" s="10"/>
      <c r="N326" s="10"/>
      <c r="O326" s="10"/>
      <c r="P326" s="10"/>
      <c r="Q326" s="10"/>
      <c r="R326" s="10"/>
      <c r="S326" s="10"/>
      <c r="T326" s="10"/>
      <c r="U326" s="10"/>
    </row>
    <row r="327" spans="1:21" ht="12.75" x14ac:dyDescent="0.2">
      <c r="A327" s="10"/>
      <c r="B327" s="10"/>
      <c r="C327" s="10"/>
      <c r="D327" s="10"/>
      <c r="E327" s="10"/>
      <c r="F327" s="10"/>
      <c r="G327" s="10"/>
      <c r="H327" s="10"/>
      <c r="I327" s="10"/>
      <c r="J327" s="10"/>
      <c r="K327" s="10"/>
      <c r="L327" s="10"/>
      <c r="M327" s="10"/>
      <c r="N327" s="10"/>
      <c r="O327" s="10"/>
      <c r="P327" s="10"/>
      <c r="Q327" s="10"/>
      <c r="R327" s="10"/>
      <c r="S327" s="10"/>
      <c r="T327" s="10"/>
      <c r="U327" s="10"/>
    </row>
    <row r="328" spans="1:21" ht="12.75" x14ac:dyDescent="0.2">
      <c r="A328" s="10"/>
      <c r="B328" s="10"/>
      <c r="C328" s="10"/>
      <c r="D328" s="10"/>
      <c r="E328" s="10"/>
      <c r="F328" s="10"/>
      <c r="G328" s="10"/>
      <c r="H328" s="10"/>
      <c r="I328" s="10"/>
      <c r="J328" s="10"/>
      <c r="K328" s="10"/>
      <c r="L328" s="10"/>
      <c r="M328" s="10"/>
      <c r="N328" s="10"/>
      <c r="O328" s="10"/>
      <c r="P328" s="10"/>
      <c r="Q328" s="10"/>
      <c r="R328" s="10"/>
      <c r="S328" s="10"/>
      <c r="T328" s="10"/>
      <c r="U328" s="10"/>
    </row>
    <row r="329" spans="1:21" ht="12.75" x14ac:dyDescent="0.2">
      <c r="A329" s="10"/>
      <c r="B329" s="10"/>
      <c r="C329" s="10"/>
      <c r="D329" s="10"/>
      <c r="E329" s="10"/>
      <c r="F329" s="10"/>
      <c r="G329" s="10"/>
      <c r="H329" s="10"/>
      <c r="I329" s="10"/>
      <c r="J329" s="10"/>
      <c r="K329" s="10"/>
      <c r="L329" s="10"/>
      <c r="M329" s="10"/>
      <c r="N329" s="10"/>
      <c r="O329" s="10"/>
      <c r="P329" s="10"/>
      <c r="Q329" s="10"/>
      <c r="R329" s="10"/>
      <c r="S329" s="10"/>
      <c r="T329" s="10"/>
      <c r="U329" s="10"/>
    </row>
    <row r="330" spans="1:21" ht="12.75" x14ac:dyDescent="0.2">
      <c r="A330" s="10"/>
      <c r="B330" s="10"/>
      <c r="C330" s="10"/>
      <c r="D330" s="10"/>
      <c r="E330" s="10"/>
      <c r="F330" s="10"/>
      <c r="G330" s="10"/>
      <c r="H330" s="10"/>
      <c r="I330" s="10"/>
      <c r="J330" s="10"/>
      <c r="K330" s="10"/>
      <c r="L330" s="10"/>
      <c r="M330" s="10"/>
      <c r="N330" s="10"/>
      <c r="O330" s="10"/>
      <c r="P330" s="10"/>
      <c r="Q330" s="10"/>
      <c r="R330" s="10"/>
      <c r="S330" s="10"/>
      <c r="T330" s="10"/>
      <c r="U330" s="10"/>
    </row>
    <row r="331" spans="1:21" ht="12.75" x14ac:dyDescent="0.2">
      <c r="A331" s="10"/>
      <c r="B331" s="10"/>
      <c r="C331" s="10"/>
      <c r="D331" s="10"/>
      <c r="E331" s="10"/>
      <c r="F331" s="10"/>
      <c r="G331" s="10"/>
      <c r="H331" s="10"/>
      <c r="I331" s="10"/>
      <c r="J331" s="10"/>
      <c r="K331" s="10"/>
      <c r="L331" s="10"/>
      <c r="M331" s="10"/>
      <c r="N331" s="10"/>
      <c r="O331" s="10"/>
      <c r="P331" s="10"/>
      <c r="Q331" s="10"/>
      <c r="R331" s="10"/>
      <c r="S331" s="10"/>
      <c r="T331" s="10"/>
      <c r="U331" s="10"/>
    </row>
    <row r="332" spans="1:21" ht="12.75" x14ac:dyDescent="0.2">
      <c r="A332" s="10"/>
      <c r="B332" s="10"/>
      <c r="C332" s="10"/>
      <c r="D332" s="10"/>
      <c r="E332" s="10"/>
      <c r="F332" s="10"/>
      <c r="G332" s="10"/>
      <c r="H332" s="10"/>
      <c r="I332" s="10"/>
      <c r="J332" s="10"/>
      <c r="K332" s="10"/>
      <c r="L332" s="10"/>
      <c r="M332" s="10"/>
      <c r="N332" s="10"/>
      <c r="O332" s="10"/>
      <c r="P332" s="10"/>
      <c r="Q332" s="10"/>
      <c r="R332" s="10"/>
      <c r="S332" s="10"/>
      <c r="T332" s="10"/>
      <c r="U332" s="10"/>
    </row>
    <row r="333" spans="1:21" ht="12.75" x14ac:dyDescent="0.2">
      <c r="A333" s="10"/>
      <c r="B333" s="10"/>
      <c r="C333" s="10"/>
      <c r="D333" s="10"/>
      <c r="E333" s="10"/>
      <c r="F333" s="10"/>
      <c r="G333" s="10"/>
      <c r="H333" s="10"/>
      <c r="I333" s="10"/>
      <c r="J333" s="10"/>
      <c r="K333" s="10"/>
      <c r="L333" s="10"/>
      <c r="M333" s="10"/>
      <c r="N333" s="10"/>
      <c r="O333" s="10"/>
      <c r="P333" s="10"/>
      <c r="Q333" s="10"/>
      <c r="R333" s="10"/>
      <c r="S333" s="10"/>
      <c r="T333" s="10"/>
      <c r="U333" s="10"/>
    </row>
    <row r="334" spans="1:21" ht="12.75" x14ac:dyDescent="0.2">
      <c r="A334" s="10"/>
      <c r="B334" s="10"/>
      <c r="C334" s="10"/>
      <c r="D334" s="10"/>
      <c r="E334" s="10"/>
      <c r="F334" s="10"/>
      <c r="G334" s="10"/>
      <c r="H334" s="10"/>
      <c r="I334" s="10"/>
      <c r="J334" s="10"/>
      <c r="K334" s="10"/>
      <c r="L334" s="10"/>
      <c r="M334" s="10"/>
      <c r="N334" s="10"/>
      <c r="O334" s="10"/>
      <c r="P334" s="10"/>
      <c r="Q334" s="10"/>
      <c r="R334" s="10"/>
      <c r="S334" s="10"/>
      <c r="T334" s="10"/>
      <c r="U334" s="10"/>
    </row>
    <row r="335" spans="1:21" ht="12.75" x14ac:dyDescent="0.2">
      <c r="A335" s="10"/>
      <c r="B335" s="10"/>
      <c r="C335" s="10"/>
      <c r="D335" s="10"/>
      <c r="E335" s="10"/>
      <c r="F335" s="10"/>
      <c r="G335" s="10"/>
      <c r="H335" s="10"/>
      <c r="I335" s="10"/>
      <c r="J335" s="10"/>
      <c r="K335" s="10"/>
      <c r="L335" s="10"/>
      <c r="M335" s="10"/>
      <c r="N335" s="10"/>
      <c r="O335" s="10"/>
      <c r="P335" s="10"/>
      <c r="Q335" s="10"/>
      <c r="R335" s="10"/>
      <c r="S335" s="10"/>
      <c r="T335" s="10"/>
      <c r="U335" s="10"/>
    </row>
    <row r="336" spans="1:21" ht="12.75" x14ac:dyDescent="0.2">
      <c r="A336" s="10"/>
      <c r="B336" s="10"/>
      <c r="C336" s="10"/>
      <c r="D336" s="10"/>
      <c r="E336" s="10"/>
      <c r="F336" s="10"/>
      <c r="G336" s="10"/>
      <c r="H336" s="10"/>
      <c r="I336" s="10"/>
      <c r="J336" s="10"/>
      <c r="K336" s="10"/>
      <c r="L336" s="10"/>
      <c r="M336" s="10"/>
      <c r="N336" s="10"/>
      <c r="O336" s="10"/>
      <c r="P336" s="10"/>
      <c r="Q336" s="10"/>
      <c r="R336" s="10"/>
      <c r="S336" s="10"/>
      <c r="T336" s="10"/>
      <c r="U336" s="10"/>
    </row>
    <row r="337" spans="1:21" ht="12.75" x14ac:dyDescent="0.2">
      <c r="A337" s="10"/>
      <c r="B337" s="10"/>
      <c r="C337" s="10"/>
      <c r="D337" s="10"/>
      <c r="E337" s="10"/>
      <c r="F337" s="10"/>
      <c r="G337" s="10"/>
      <c r="H337" s="10"/>
      <c r="I337" s="10"/>
      <c r="J337" s="10"/>
      <c r="K337" s="10"/>
      <c r="L337" s="10"/>
      <c r="M337" s="10"/>
      <c r="N337" s="10"/>
      <c r="O337" s="10"/>
      <c r="P337" s="10"/>
      <c r="Q337" s="10"/>
      <c r="R337" s="10"/>
      <c r="S337" s="10"/>
      <c r="T337" s="10"/>
      <c r="U337" s="10"/>
    </row>
    <row r="338" spans="1:21" ht="12.75" x14ac:dyDescent="0.2">
      <c r="A338" s="10"/>
      <c r="B338" s="10"/>
      <c r="C338" s="10"/>
      <c r="D338" s="10"/>
      <c r="E338" s="10"/>
      <c r="F338" s="10"/>
      <c r="G338" s="10"/>
      <c r="H338" s="10"/>
      <c r="I338" s="10"/>
      <c r="J338" s="10"/>
      <c r="K338" s="10"/>
      <c r="L338" s="10"/>
      <c r="M338" s="10"/>
      <c r="N338" s="10"/>
      <c r="O338" s="10"/>
      <c r="P338" s="10"/>
      <c r="Q338" s="10"/>
      <c r="R338" s="10"/>
      <c r="S338" s="10"/>
      <c r="T338" s="10"/>
      <c r="U338" s="10"/>
    </row>
    <row r="339" spans="1:21" ht="12.75" x14ac:dyDescent="0.2">
      <c r="A339" s="10"/>
      <c r="B339" s="10"/>
      <c r="C339" s="10"/>
      <c r="D339" s="10"/>
      <c r="E339" s="10"/>
      <c r="F339" s="10"/>
      <c r="G339" s="10"/>
      <c r="H339" s="10"/>
      <c r="I339" s="10"/>
      <c r="J339" s="10"/>
      <c r="K339" s="10"/>
      <c r="L339" s="10"/>
      <c r="M339" s="10"/>
      <c r="N339" s="10"/>
      <c r="O339" s="10"/>
      <c r="P339" s="10"/>
      <c r="Q339" s="10"/>
      <c r="R339" s="10"/>
      <c r="S339" s="10"/>
      <c r="T339" s="10"/>
      <c r="U339" s="10"/>
    </row>
    <row r="340" spans="1:21" ht="12.75" x14ac:dyDescent="0.2">
      <c r="A340" s="10"/>
      <c r="B340" s="10"/>
      <c r="C340" s="10"/>
      <c r="D340" s="10"/>
      <c r="E340" s="10"/>
      <c r="F340" s="10"/>
      <c r="G340" s="10"/>
      <c r="H340" s="10"/>
      <c r="I340" s="10"/>
      <c r="J340" s="10"/>
      <c r="K340" s="10"/>
      <c r="L340" s="10"/>
      <c r="M340" s="10"/>
      <c r="N340" s="10"/>
      <c r="O340" s="10"/>
      <c r="P340" s="10"/>
      <c r="Q340" s="10"/>
      <c r="R340" s="10"/>
      <c r="S340" s="10"/>
      <c r="T340" s="10"/>
      <c r="U340" s="10"/>
    </row>
    <row r="341" spans="1:21" ht="12.75" x14ac:dyDescent="0.2">
      <c r="A341" s="10"/>
      <c r="B341" s="10"/>
      <c r="C341" s="10"/>
      <c r="D341" s="10"/>
      <c r="E341" s="10"/>
      <c r="F341" s="10"/>
      <c r="G341" s="10"/>
      <c r="H341" s="10"/>
      <c r="I341" s="10"/>
      <c r="J341" s="10"/>
      <c r="K341" s="10"/>
      <c r="L341" s="10"/>
      <c r="M341" s="10"/>
      <c r="N341" s="10"/>
      <c r="O341" s="10"/>
      <c r="P341" s="10"/>
      <c r="Q341" s="10"/>
      <c r="R341" s="10"/>
      <c r="S341" s="10"/>
      <c r="T341" s="10"/>
      <c r="U341" s="10"/>
    </row>
    <row r="342" spans="1:21" ht="12.75" x14ac:dyDescent="0.2">
      <c r="A342" s="10"/>
      <c r="B342" s="10"/>
      <c r="C342" s="10"/>
      <c r="D342" s="10"/>
      <c r="E342" s="10"/>
      <c r="F342" s="10"/>
      <c r="G342" s="10"/>
      <c r="H342" s="10"/>
      <c r="I342" s="10"/>
      <c r="J342" s="10"/>
      <c r="K342" s="10"/>
      <c r="L342" s="10"/>
      <c r="M342" s="10"/>
      <c r="N342" s="10"/>
      <c r="O342" s="10"/>
      <c r="P342" s="10"/>
      <c r="Q342" s="10"/>
      <c r="R342" s="10"/>
      <c r="S342" s="10"/>
      <c r="T342" s="10"/>
      <c r="U342" s="10"/>
    </row>
    <row r="343" spans="1:21" ht="12.75" x14ac:dyDescent="0.2">
      <c r="A343" s="10"/>
      <c r="B343" s="10"/>
      <c r="C343" s="10"/>
      <c r="D343" s="10"/>
      <c r="E343" s="10"/>
      <c r="F343" s="10"/>
      <c r="G343" s="10"/>
      <c r="H343" s="10"/>
      <c r="I343" s="10"/>
      <c r="J343" s="10"/>
      <c r="K343" s="10"/>
      <c r="L343" s="10"/>
      <c r="M343" s="10"/>
      <c r="N343" s="10"/>
      <c r="O343" s="10"/>
      <c r="P343" s="10"/>
      <c r="Q343" s="10"/>
      <c r="R343" s="10"/>
      <c r="S343" s="10"/>
      <c r="T343" s="10"/>
      <c r="U343" s="10"/>
    </row>
    <row r="344" spans="1:21" ht="12.75" x14ac:dyDescent="0.2">
      <c r="A344" s="10"/>
      <c r="B344" s="10"/>
      <c r="C344" s="10"/>
      <c r="D344" s="10"/>
      <c r="E344" s="10"/>
      <c r="F344" s="10"/>
      <c r="G344" s="10"/>
      <c r="H344" s="10"/>
      <c r="I344" s="10"/>
      <c r="J344" s="10"/>
      <c r="K344" s="10"/>
      <c r="L344" s="10"/>
      <c r="M344" s="10"/>
      <c r="N344" s="10"/>
      <c r="O344" s="10"/>
      <c r="P344" s="10"/>
      <c r="Q344" s="10"/>
      <c r="R344" s="10"/>
      <c r="S344" s="10"/>
      <c r="T344" s="10"/>
      <c r="U344" s="10"/>
    </row>
    <row r="345" spans="1:21" ht="12.75" x14ac:dyDescent="0.2">
      <c r="A345" s="10"/>
      <c r="B345" s="10"/>
      <c r="C345" s="10"/>
      <c r="D345" s="10"/>
      <c r="E345" s="10"/>
      <c r="F345" s="10"/>
      <c r="G345" s="10"/>
      <c r="H345" s="10"/>
      <c r="I345" s="10"/>
      <c r="J345" s="10"/>
      <c r="K345" s="10"/>
      <c r="L345" s="10"/>
      <c r="M345" s="10"/>
      <c r="N345" s="10"/>
      <c r="O345" s="10"/>
      <c r="P345" s="10"/>
      <c r="Q345" s="10"/>
      <c r="R345" s="10"/>
      <c r="S345" s="10"/>
      <c r="T345" s="10"/>
      <c r="U345" s="10"/>
    </row>
    <row r="346" spans="1:21" ht="12.75" x14ac:dyDescent="0.2">
      <c r="A346" s="10"/>
      <c r="B346" s="10"/>
      <c r="C346" s="10"/>
      <c r="D346" s="10"/>
      <c r="E346" s="10"/>
      <c r="F346" s="10"/>
      <c r="G346" s="10"/>
      <c r="H346" s="10"/>
      <c r="I346" s="10"/>
      <c r="J346" s="10"/>
      <c r="K346" s="10"/>
      <c r="L346" s="10"/>
      <c r="M346" s="10"/>
      <c r="N346" s="10"/>
      <c r="O346" s="10"/>
      <c r="P346" s="10"/>
      <c r="Q346" s="10"/>
      <c r="R346" s="10"/>
      <c r="S346" s="10"/>
      <c r="T346" s="10"/>
      <c r="U346" s="10"/>
    </row>
    <row r="347" spans="1:21" ht="12.75" x14ac:dyDescent="0.2">
      <c r="A347" s="10"/>
      <c r="B347" s="10"/>
      <c r="C347" s="10"/>
      <c r="D347" s="10"/>
      <c r="E347" s="10"/>
      <c r="F347" s="10"/>
      <c r="G347" s="10"/>
      <c r="H347" s="10"/>
      <c r="I347" s="10"/>
      <c r="J347" s="10"/>
      <c r="K347" s="10"/>
      <c r="L347" s="10"/>
      <c r="M347" s="10"/>
      <c r="N347" s="10"/>
      <c r="O347" s="10"/>
      <c r="P347" s="10"/>
      <c r="Q347" s="10"/>
      <c r="R347" s="10"/>
      <c r="S347" s="10"/>
      <c r="T347" s="10"/>
      <c r="U347" s="10"/>
    </row>
    <row r="348" spans="1:21" ht="12.75" x14ac:dyDescent="0.2">
      <c r="A348" s="10"/>
      <c r="B348" s="10"/>
      <c r="C348" s="10"/>
      <c r="D348" s="10"/>
      <c r="E348" s="10"/>
      <c r="F348" s="10"/>
      <c r="G348" s="10"/>
      <c r="H348" s="10"/>
      <c r="I348" s="10"/>
      <c r="J348" s="10"/>
      <c r="K348" s="10"/>
      <c r="L348" s="10"/>
      <c r="M348" s="10"/>
      <c r="N348" s="10"/>
      <c r="O348" s="10"/>
      <c r="P348" s="10"/>
      <c r="Q348" s="10"/>
      <c r="R348" s="10"/>
      <c r="S348" s="10"/>
      <c r="T348" s="10"/>
      <c r="U348" s="10"/>
    </row>
    <row r="349" spans="1:21" ht="12.75" x14ac:dyDescent="0.2">
      <c r="A349" s="10"/>
      <c r="B349" s="10"/>
      <c r="C349" s="10"/>
      <c r="D349" s="10"/>
      <c r="E349" s="10"/>
      <c r="F349" s="10"/>
      <c r="G349" s="10"/>
      <c r="H349" s="10"/>
      <c r="I349" s="10"/>
      <c r="J349" s="10"/>
      <c r="K349" s="10"/>
      <c r="L349" s="10"/>
      <c r="M349" s="10"/>
      <c r="N349" s="10"/>
      <c r="O349" s="10"/>
      <c r="P349" s="10"/>
      <c r="Q349" s="10"/>
      <c r="R349" s="10"/>
      <c r="S349" s="10"/>
      <c r="T349" s="10"/>
      <c r="U349" s="10"/>
    </row>
    <row r="350" spans="1:21" ht="12.75" x14ac:dyDescent="0.2">
      <c r="A350" s="10"/>
      <c r="B350" s="10"/>
      <c r="C350" s="10"/>
      <c r="D350" s="10"/>
      <c r="E350" s="10"/>
      <c r="F350" s="10"/>
      <c r="G350" s="10"/>
      <c r="H350" s="10"/>
      <c r="I350" s="10"/>
      <c r="J350" s="10"/>
      <c r="K350" s="10"/>
      <c r="L350" s="10"/>
      <c r="M350" s="10"/>
      <c r="N350" s="10"/>
      <c r="O350" s="10"/>
      <c r="P350" s="10"/>
      <c r="Q350" s="10"/>
      <c r="R350" s="10"/>
      <c r="S350" s="10"/>
      <c r="T350" s="10"/>
      <c r="U350" s="10"/>
    </row>
    <row r="351" spans="1:21" ht="12.75" x14ac:dyDescent="0.2">
      <c r="A351" s="10"/>
      <c r="B351" s="10"/>
      <c r="C351" s="10"/>
      <c r="D351" s="10"/>
      <c r="E351" s="10"/>
      <c r="F351" s="10"/>
      <c r="G351" s="10"/>
      <c r="H351" s="10"/>
      <c r="I351" s="10"/>
      <c r="J351" s="10"/>
      <c r="K351" s="10"/>
      <c r="L351" s="10"/>
      <c r="M351" s="10"/>
      <c r="N351" s="10"/>
      <c r="O351" s="10"/>
      <c r="P351" s="10"/>
      <c r="Q351" s="10"/>
      <c r="R351" s="10"/>
      <c r="S351" s="10"/>
      <c r="T351" s="10"/>
      <c r="U351" s="10"/>
    </row>
    <row r="352" spans="1:21" ht="12.75" x14ac:dyDescent="0.2">
      <c r="A352" s="10"/>
      <c r="B352" s="10"/>
      <c r="C352" s="10"/>
      <c r="D352" s="10"/>
      <c r="E352" s="10"/>
      <c r="F352" s="10"/>
      <c r="G352" s="10"/>
      <c r="H352" s="10"/>
      <c r="I352" s="10"/>
      <c r="J352" s="10"/>
      <c r="K352" s="10"/>
      <c r="L352" s="10"/>
      <c r="M352" s="10"/>
      <c r="N352" s="10"/>
      <c r="O352" s="10"/>
      <c r="P352" s="10"/>
      <c r="Q352" s="10"/>
      <c r="R352" s="10"/>
      <c r="S352" s="10"/>
      <c r="T352" s="10"/>
      <c r="U352" s="10"/>
    </row>
    <row r="353" spans="1:21" ht="12.75" x14ac:dyDescent="0.2">
      <c r="A353" s="10"/>
      <c r="B353" s="10"/>
      <c r="C353" s="10"/>
      <c r="D353" s="10"/>
      <c r="E353" s="10"/>
      <c r="F353" s="10"/>
      <c r="G353" s="10"/>
      <c r="H353" s="10"/>
      <c r="I353" s="10"/>
      <c r="J353" s="10"/>
      <c r="K353" s="10"/>
      <c r="L353" s="10"/>
      <c r="M353" s="10"/>
      <c r="N353" s="10"/>
      <c r="O353" s="10"/>
      <c r="P353" s="10"/>
      <c r="Q353" s="10"/>
      <c r="R353" s="10"/>
      <c r="S353" s="10"/>
      <c r="T353" s="10"/>
      <c r="U353" s="10"/>
    </row>
    <row r="354" spans="1:21" ht="12.75" x14ac:dyDescent="0.2">
      <c r="A354" s="10"/>
      <c r="B354" s="10"/>
      <c r="C354" s="10"/>
      <c r="D354" s="10"/>
      <c r="E354" s="10"/>
      <c r="F354" s="10"/>
      <c r="G354" s="10"/>
      <c r="H354" s="10"/>
      <c r="I354" s="10"/>
      <c r="J354" s="10"/>
      <c r="K354" s="10"/>
      <c r="L354" s="10"/>
      <c r="M354" s="10"/>
      <c r="N354" s="10"/>
      <c r="O354" s="10"/>
      <c r="P354" s="10"/>
      <c r="Q354" s="10"/>
      <c r="R354" s="10"/>
      <c r="S354" s="10"/>
      <c r="T354" s="10"/>
      <c r="U354" s="10"/>
    </row>
    <row r="355" spans="1:21" ht="12.75" x14ac:dyDescent="0.2">
      <c r="A355" s="10"/>
      <c r="B355" s="10"/>
      <c r="C355" s="10"/>
      <c r="D355" s="10"/>
      <c r="E355" s="10"/>
      <c r="F355" s="10"/>
      <c r="G355" s="10"/>
      <c r="H355" s="10"/>
      <c r="I355" s="10"/>
      <c r="J355" s="10"/>
      <c r="K355" s="10"/>
      <c r="L355" s="10"/>
      <c r="M355" s="10"/>
      <c r="N355" s="10"/>
      <c r="O355" s="10"/>
      <c r="P355" s="10"/>
      <c r="Q355" s="10"/>
      <c r="R355" s="10"/>
      <c r="S355" s="10"/>
      <c r="T355" s="10"/>
      <c r="U355" s="10"/>
    </row>
    <row r="356" spans="1:21" ht="12.75" x14ac:dyDescent="0.2">
      <c r="A356" s="10"/>
      <c r="B356" s="10"/>
      <c r="C356" s="10"/>
      <c r="D356" s="10"/>
      <c r="E356" s="10"/>
      <c r="F356" s="10"/>
      <c r="G356" s="10"/>
      <c r="H356" s="10"/>
      <c r="I356" s="10"/>
      <c r="J356" s="10"/>
      <c r="K356" s="10"/>
      <c r="L356" s="10"/>
      <c r="M356" s="10"/>
      <c r="N356" s="10"/>
      <c r="O356" s="10"/>
      <c r="P356" s="10"/>
      <c r="Q356" s="10"/>
      <c r="R356" s="10"/>
      <c r="S356" s="10"/>
      <c r="T356" s="10"/>
      <c r="U356" s="10"/>
    </row>
    <row r="357" spans="1:21" ht="12.75" x14ac:dyDescent="0.2">
      <c r="A357" s="10"/>
      <c r="B357" s="10"/>
      <c r="C357" s="10"/>
      <c r="D357" s="10"/>
      <c r="E357" s="10"/>
      <c r="F357" s="10"/>
      <c r="G357" s="10"/>
      <c r="H357" s="10"/>
      <c r="I357" s="10"/>
      <c r="J357" s="10"/>
      <c r="K357" s="10"/>
      <c r="L357" s="10"/>
      <c r="M357" s="10"/>
      <c r="N357" s="10"/>
      <c r="O357" s="10"/>
      <c r="P357" s="10"/>
      <c r="Q357" s="10"/>
      <c r="R357" s="10"/>
      <c r="S357" s="10"/>
      <c r="T357" s="10"/>
      <c r="U357" s="10"/>
    </row>
    <row r="358" spans="1:21" ht="12.75" x14ac:dyDescent="0.2">
      <c r="A358" s="10"/>
      <c r="B358" s="10"/>
      <c r="C358" s="10"/>
      <c r="D358" s="10"/>
      <c r="E358" s="10"/>
      <c r="F358" s="10"/>
      <c r="G358" s="10"/>
      <c r="H358" s="10"/>
      <c r="I358" s="10"/>
      <c r="J358" s="10"/>
      <c r="K358" s="10"/>
      <c r="L358" s="10"/>
      <c r="M358" s="10"/>
      <c r="N358" s="10"/>
      <c r="O358" s="10"/>
      <c r="P358" s="10"/>
      <c r="Q358" s="10"/>
      <c r="R358" s="10"/>
      <c r="S358" s="10"/>
      <c r="T358" s="10"/>
      <c r="U358" s="10"/>
    </row>
    <row r="359" spans="1:21" ht="12.75" x14ac:dyDescent="0.2">
      <c r="A359" s="10"/>
      <c r="B359" s="10"/>
      <c r="C359" s="10"/>
      <c r="D359" s="10"/>
      <c r="E359" s="10"/>
      <c r="F359" s="10"/>
      <c r="G359" s="10"/>
      <c r="H359" s="10"/>
      <c r="I359" s="10"/>
      <c r="J359" s="10"/>
      <c r="K359" s="10"/>
      <c r="L359" s="10"/>
      <c r="M359" s="10"/>
      <c r="N359" s="10"/>
      <c r="O359" s="10"/>
      <c r="P359" s="10"/>
      <c r="Q359" s="10"/>
      <c r="R359" s="10"/>
      <c r="S359" s="10"/>
      <c r="T359" s="10"/>
      <c r="U359" s="10"/>
    </row>
    <row r="360" spans="1:21" ht="12.75" x14ac:dyDescent="0.2">
      <c r="A360" s="10"/>
      <c r="B360" s="10"/>
      <c r="C360" s="10"/>
      <c r="D360" s="10"/>
      <c r="E360" s="10"/>
      <c r="F360" s="10"/>
      <c r="G360" s="10"/>
      <c r="H360" s="10"/>
      <c r="I360" s="10"/>
      <c r="J360" s="10"/>
      <c r="K360" s="10"/>
      <c r="L360" s="10"/>
      <c r="M360" s="10"/>
      <c r="N360" s="10"/>
      <c r="O360" s="10"/>
      <c r="P360" s="10"/>
      <c r="Q360" s="10"/>
      <c r="R360" s="10"/>
      <c r="S360" s="10"/>
      <c r="T360" s="10"/>
      <c r="U360" s="10"/>
    </row>
    <row r="361" spans="1:21" ht="12.75" x14ac:dyDescent="0.2">
      <c r="A361" s="10"/>
      <c r="B361" s="10"/>
      <c r="C361" s="10"/>
      <c r="D361" s="10"/>
      <c r="E361" s="10"/>
      <c r="F361" s="10"/>
      <c r="G361" s="10"/>
      <c r="H361" s="10"/>
      <c r="I361" s="10"/>
      <c r="J361" s="10"/>
      <c r="K361" s="10"/>
      <c r="L361" s="10"/>
      <c r="M361" s="10"/>
      <c r="N361" s="10"/>
      <c r="O361" s="10"/>
      <c r="P361" s="10"/>
      <c r="Q361" s="10"/>
      <c r="R361" s="10"/>
      <c r="S361" s="10"/>
      <c r="T361" s="10"/>
      <c r="U361" s="10"/>
    </row>
    <row r="362" spans="1:21" ht="12.75" x14ac:dyDescent="0.2">
      <c r="A362" s="10"/>
      <c r="B362" s="10"/>
      <c r="C362" s="10"/>
      <c r="D362" s="10"/>
      <c r="E362" s="10"/>
      <c r="F362" s="10"/>
      <c r="G362" s="10"/>
      <c r="H362" s="10"/>
      <c r="I362" s="10"/>
      <c r="J362" s="10"/>
      <c r="K362" s="10"/>
      <c r="L362" s="10"/>
      <c r="M362" s="10"/>
      <c r="N362" s="10"/>
      <c r="O362" s="10"/>
      <c r="P362" s="10"/>
      <c r="Q362" s="10"/>
      <c r="R362" s="10"/>
      <c r="S362" s="10"/>
      <c r="T362" s="10"/>
      <c r="U362" s="10"/>
    </row>
    <row r="363" spans="1:21" ht="12.75" x14ac:dyDescent="0.2">
      <c r="A363" s="10"/>
      <c r="B363" s="10"/>
      <c r="C363" s="10"/>
      <c r="D363" s="10"/>
      <c r="E363" s="10"/>
      <c r="F363" s="10"/>
      <c r="G363" s="10"/>
      <c r="H363" s="10"/>
      <c r="I363" s="10"/>
      <c r="J363" s="10"/>
      <c r="K363" s="10"/>
      <c r="L363" s="10"/>
      <c r="M363" s="10"/>
      <c r="N363" s="10"/>
      <c r="O363" s="10"/>
      <c r="P363" s="10"/>
      <c r="Q363" s="10"/>
      <c r="R363" s="10"/>
      <c r="S363" s="10"/>
      <c r="T363" s="10"/>
      <c r="U363" s="10"/>
    </row>
    <row r="364" spans="1:21" ht="12.75" x14ac:dyDescent="0.2">
      <c r="A364" s="10"/>
      <c r="B364" s="10"/>
      <c r="C364" s="10"/>
      <c r="D364" s="10"/>
      <c r="E364" s="10"/>
      <c r="F364" s="10"/>
      <c r="G364" s="10"/>
      <c r="H364" s="10"/>
      <c r="I364" s="10"/>
      <c r="J364" s="10"/>
      <c r="K364" s="10"/>
      <c r="L364" s="10"/>
      <c r="M364" s="10"/>
      <c r="N364" s="10"/>
      <c r="O364" s="10"/>
      <c r="P364" s="10"/>
      <c r="Q364" s="10"/>
      <c r="R364" s="10"/>
      <c r="S364" s="10"/>
      <c r="T364" s="10"/>
      <c r="U364" s="10"/>
    </row>
    <row r="365" spans="1:21" ht="12.75" x14ac:dyDescent="0.2">
      <c r="A365" s="10"/>
      <c r="B365" s="10"/>
      <c r="C365" s="10"/>
      <c r="D365" s="10"/>
      <c r="E365" s="10"/>
      <c r="F365" s="10"/>
      <c r="G365" s="10"/>
      <c r="H365" s="10"/>
      <c r="I365" s="10"/>
      <c r="J365" s="10"/>
      <c r="K365" s="10"/>
      <c r="L365" s="10"/>
      <c r="M365" s="10"/>
      <c r="N365" s="10"/>
      <c r="O365" s="10"/>
      <c r="P365" s="10"/>
      <c r="Q365" s="10"/>
      <c r="R365" s="10"/>
      <c r="S365" s="10"/>
      <c r="T365" s="10"/>
      <c r="U365" s="10"/>
    </row>
    <row r="366" spans="1:21" ht="12.75" x14ac:dyDescent="0.2">
      <c r="A366" s="10"/>
      <c r="B366" s="10"/>
      <c r="C366" s="10"/>
      <c r="D366" s="10"/>
      <c r="E366" s="10"/>
      <c r="F366" s="10"/>
      <c r="G366" s="10"/>
      <c r="H366" s="10"/>
      <c r="I366" s="10"/>
      <c r="J366" s="10"/>
      <c r="K366" s="10"/>
      <c r="L366" s="10"/>
      <c r="M366" s="10"/>
      <c r="N366" s="10"/>
      <c r="O366" s="10"/>
      <c r="P366" s="10"/>
      <c r="Q366" s="10"/>
      <c r="R366" s="10"/>
      <c r="S366" s="10"/>
      <c r="T366" s="10"/>
      <c r="U366" s="10"/>
    </row>
    <row r="367" spans="1:21" ht="12.75" x14ac:dyDescent="0.2">
      <c r="A367" s="10"/>
      <c r="B367" s="10"/>
      <c r="C367" s="10"/>
      <c r="D367" s="10"/>
      <c r="E367" s="10"/>
      <c r="F367" s="10"/>
      <c r="G367" s="10"/>
      <c r="H367" s="10"/>
      <c r="I367" s="10"/>
      <c r="J367" s="10"/>
      <c r="K367" s="10"/>
      <c r="L367" s="10"/>
      <c r="M367" s="10"/>
      <c r="N367" s="10"/>
      <c r="O367" s="10"/>
      <c r="P367" s="10"/>
      <c r="Q367" s="10"/>
      <c r="R367" s="10"/>
      <c r="S367" s="10"/>
      <c r="T367" s="10"/>
      <c r="U367" s="10"/>
    </row>
    <row r="368" spans="1:21" ht="12.75" x14ac:dyDescent="0.2">
      <c r="A368" s="10"/>
      <c r="B368" s="10"/>
      <c r="C368" s="10"/>
      <c r="D368" s="10"/>
      <c r="E368" s="10"/>
      <c r="F368" s="10"/>
      <c r="G368" s="10"/>
      <c r="H368" s="10"/>
      <c r="I368" s="10"/>
      <c r="J368" s="10"/>
      <c r="K368" s="10"/>
      <c r="L368" s="10"/>
      <c r="M368" s="10"/>
      <c r="N368" s="10"/>
      <c r="O368" s="10"/>
      <c r="P368" s="10"/>
      <c r="Q368" s="10"/>
      <c r="R368" s="10"/>
      <c r="S368" s="10"/>
      <c r="T368" s="10"/>
      <c r="U368" s="10"/>
    </row>
    <row r="369" spans="1:21" ht="12.75" x14ac:dyDescent="0.2">
      <c r="A369" s="10"/>
      <c r="B369" s="10"/>
      <c r="C369" s="10"/>
      <c r="D369" s="10"/>
      <c r="E369" s="10"/>
      <c r="F369" s="10"/>
      <c r="G369" s="10"/>
      <c r="H369" s="10"/>
      <c r="I369" s="10"/>
      <c r="J369" s="10"/>
      <c r="K369" s="10"/>
      <c r="L369" s="10"/>
      <c r="M369" s="10"/>
      <c r="N369" s="10"/>
      <c r="O369" s="10"/>
      <c r="P369" s="10"/>
      <c r="Q369" s="10"/>
      <c r="R369" s="10"/>
      <c r="S369" s="10"/>
      <c r="T369" s="10"/>
      <c r="U369" s="10"/>
    </row>
    <row r="370" spans="1:21" ht="12.75" x14ac:dyDescent="0.2">
      <c r="A370" s="10"/>
      <c r="B370" s="10"/>
      <c r="C370" s="10"/>
      <c r="D370" s="10"/>
      <c r="E370" s="10"/>
      <c r="F370" s="10"/>
      <c r="G370" s="10"/>
      <c r="H370" s="10"/>
      <c r="I370" s="10"/>
      <c r="J370" s="10"/>
      <c r="K370" s="10"/>
      <c r="L370" s="10"/>
      <c r="M370" s="10"/>
      <c r="N370" s="10"/>
      <c r="O370" s="10"/>
      <c r="P370" s="10"/>
      <c r="Q370" s="10"/>
      <c r="R370" s="10"/>
      <c r="S370" s="10"/>
      <c r="T370" s="10"/>
      <c r="U370" s="10"/>
    </row>
    <row r="371" spans="1:21" ht="12.75" x14ac:dyDescent="0.2">
      <c r="A371" s="10"/>
      <c r="B371" s="10"/>
      <c r="C371" s="10"/>
      <c r="D371" s="10"/>
      <c r="E371" s="10"/>
      <c r="F371" s="10"/>
      <c r="G371" s="10"/>
      <c r="H371" s="10"/>
      <c r="I371" s="10"/>
      <c r="J371" s="10"/>
      <c r="K371" s="10"/>
      <c r="L371" s="10"/>
      <c r="M371" s="10"/>
      <c r="N371" s="10"/>
      <c r="O371" s="10"/>
      <c r="P371" s="10"/>
      <c r="Q371" s="10"/>
      <c r="R371" s="10"/>
      <c r="S371" s="10"/>
      <c r="T371" s="10"/>
      <c r="U371" s="10"/>
    </row>
    <row r="372" spans="1:21" ht="12.75" x14ac:dyDescent="0.2">
      <c r="A372" s="10"/>
      <c r="B372" s="10"/>
      <c r="C372" s="10"/>
      <c r="D372" s="10"/>
      <c r="E372" s="10"/>
      <c r="F372" s="10"/>
      <c r="G372" s="10"/>
      <c r="H372" s="10"/>
      <c r="I372" s="10"/>
      <c r="J372" s="10"/>
      <c r="K372" s="10"/>
      <c r="L372" s="10"/>
      <c r="M372" s="10"/>
      <c r="N372" s="10"/>
      <c r="O372" s="10"/>
      <c r="P372" s="10"/>
      <c r="Q372" s="10"/>
      <c r="R372" s="10"/>
      <c r="S372" s="10"/>
      <c r="T372" s="10"/>
      <c r="U372" s="10"/>
    </row>
    <row r="373" spans="1:21" ht="12.75" x14ac:dyDescent="0.2">
      <c r="A373" s="10"/>
      <c r="B373" s="10"/>
      <c r="C373" s="10"/>
      <c r="D373" s="10"/>
      <c r="E373" s="10"/>
      <c r="F373" s="10"/>
      <c r="G373" s="10"/>
      <c r="H373" s="10"/>
      <c r="I373" s="10"/>
      <c r="J373" s="10"/>
      <c r="K373" s="10"/>
      <c r="L373" s="10"/>
      <c r="M373" s="10"/>
      <c r="N373" s="10"/>
      <c r="O373" s="10"/>
      <c r="P373" s="10"/>
      <c r="Q373" s="10"/>
      <c r="R373" s="10"/>
      <c r="S373" s="10"/>
      <c r="T373" s="10"/>
      <c r="U373" s="10"/>
    </row>
    <row r="374" spans="1:21" ht="12.75" x14ac:dyDescent="0.2">
      <c r="A374" s="10"/>
      <c r="B374" s="10"/>
      <c r="C374" s="10"/>
      <c r="D374" s="10"/>
      <c r="E374" s="10"/>
      <c r="F374" s="10"/>
      <c r="G374" s="10"/>
      <c r="H374" s="10"/>
      <c r="I374" s="10"/>
      <c r="J374" s="10"/>
      <c r="K374" s="10"/>
      <c r="L374" s="10"/>
      <c r="M374" s="10"/>
      <c r="N374" s="10"/>
      <c r="O374" s="10"/>
      <c r="P374" s="10"/>
      <c r="Q374" s="10"/>
      <c r="R374" s="10"/>
      <c r="S374" s="10"/>
      <c r="T374" s="10"/>
      <c r="U374" s="10"/>
    </row>
    <row r="375" spans="1:21" ht="12.75" x14ac:dyDescent="0.2">
      <c r="A375" s="10"/>
      <c r="B375" s="10"/>
      <c r="C375" s="10"/>
      <c r="D375" s="10"/>
      <c r="E375" s="10"/>
      <c r="F375" s="10"/>
      <c r="G375" s="10"/>
      <c r="H375" s="10"/>
      <c r="I375" s="10"/>
      <c r="J375" s="10"/>
      <c r="K375" s="10"/>
      <c r="L375" s="10"/>
      <c r="M375" s="10"/>
      <c r="N375" s="10"/>
      <c r="O375" s="10"/>
      <c r="P375" s="10"/>
      <c r="Q375" s="10"/>
      <c r="R375" s="10"/>
      <c r="S375" s="10"/>
      <c r="T375" s="10"/>
      <c r="U375" s="10"/>
    </row>
    <row r="376" spans="1:21" ht="12.75" x14ac:dyDescent="0.2">
      <c r="A376" s="10"/>
      <c r="B376" s="10"/>
      <c r="C376" s="10"/>
      <c r="D376" s="10"/>
      <c r="E376" s="10"/>
      <c r="F376" s="10"/>
      <c r="G376" s="10"/>
      <c r="H376" s="10"/>
      <c r="I376" s="10"/>
      <c r="J376" s="10"/>
      <c r="K376" s="10"/>
      <c r="L376" s="10"/>
      <c r="M376" s="10"/>
      <c r="N376" s="10"/>
      <c r="O376" s="10"/>
      <c r="P376" s="10"/>
      <c r="Q376" s="10"/>
      <c r="R376" s="10"/>
      <c r="S376" s="10"/>
      <c r="T376" s="10"/>
      <c r="U376" s="10"/>
    </row>
    <row r="377" spans="1:21" ht="12.75" x14ac:dyDescent="0.2">
      <c r="A377" s="10"/>
      <c r="B377" s="10"/>
      <c r="C377" s="10"/>
      <c r="D377" s="10"/>
      <c r="E377" s="10"/>
      <c r="F377" s="10"/>
      <c r="G377" s="10"/>
      <c r="H377" s="10"/>
      <c r="I377" s="10"/>
      <c r="J377" s="10"/>
      <c r="K377" s="10"/>
      <c r="L377" s="10"/>
      <c r="M377" s="10"/>
      <c r="N377" s="10"/>
      <c r="O377" s="10"/>
      <c r="P377" s="10"/>
      <c r="Q377" s="10"/>
      <c r="R377" s="10"/>
      <c r="S377" s="10"/>
      <c r="T377" s="10"/>
      <c r="U377" s="10"/>
    </row>
    <row r="378" spans="1:21" ht="12.75" x14ac:dyDescent="0.2">
      <c r="A378" s="10"/>
      <c r="B378" s="10"/>
      <c r="C378" s="10"/>
      <c r="D378" s="10"/>
      <c r="E378" s="10"/>
      <c r="F378" s="10"/>
      <c r="G378" s="10"/>
      <c r="H378" s="10"/>
      <c r="I378" s="10"/>
      <c r="J378" s="10"/>
      <c r="K378" s="10"/>
      <c r="L378" s="10"/>
      <c r="M378" s="10"/>
      <c r="N378" s="10"/>
      <c r="O378" s="10"/>
      <c r="P378" s="10"/>
      <c r="Q378" s="10"/>
      <c r="R378" s="10"/>
      <c r="S378" s="10"/>
      <c r="T378" s="10"/>
      <c r="U378" s="10"/>
    </row>
    <row r="379" spans="1:21" ht="12.75" x14ac:dyDescent="0.2">
      <c r="A379" s="10"/>
      <c r="B379" s="10"/>
      <c r="C379" s="10"/>
      <c r="D379" s="10"/>
      <c r="E379" s="10"/>
      <c r="F379" s="10"/>
      <c r="G379" s="10"/>
      <c r="H379" s="10"/>
      <c r="I379" s="10"/>
      <c r="J379" s="10"/>
      <c r="K379" s="10"/>
      <c r="L379" s="10"/>
      <c r="M379" s="10"/>
      <c r="N379" s="10"/>
      <c r="O379" s="10"/>
      <c r="P379" s="10"/>
      <c r="Q379" s="10"/>
      <c r="R379" s="10"/>
      <c r="S379" s="10"/>
      <c r="T379" s="10"/>
      <c r="U379" s="10"/>
    </row>
    <row r="380" spans="1:21" ht="12.75" x14ac:dyDescent="0.2">
      <c r="A380" s="10"/>
      <c r="B380" s="10"/>
      <c r="C380" s="10"/>
      <c r="D380" s="10"/>
      <c r="E380" s="10"/>
      <c r="F380" s="10"/>
      <c r="G380" s="10"/>
      <c r="H380" s="10"/>
      <c r="I380" s="10"/>
      <c r="J380" s="10"/>
      <c r="K380" s="10"/>
      <c r="L380" s="10"/>
      <c r="M380" s="10"/>
      <c r="N380" s="10"/>
      <c r="O380" s="10"/>
      <c r="P380" s="10"/>
      <c r="Q380" s="10"/>
      <c r="R380" s="10"/>
      <c r="S380" s="10"/>
      <c r="T380" s="10"/>
      <c r="U380" s="10"/>
    </row>
    <row r="381" spans="1:21" ht="12.75" x14ac:dyDescent="0.2">
      <c r="A381" s="10"/>
      <c r="B381" s="10"/>
      <c r="C381" s="10"/>
      <c r="D381" s="10"/>
      <c r="E381" s="10"/>
      <c r="F381" s="10"/>
      <c r="G381" s="10"/>
      <c r="H381" s="10"/>
      <c r="I381" s="10"/>
      <c r="J381" s="10"/>
      <c r="K381" s="10"/>
      <c r="L381" s="10"/>
      <c r="M381" s="10"/>
      <c r="N381" s="10"/>
      <c r="O381" s="10"/>
      <c r="P381" s="10"/>
      <c r="Q381" s="10"/>
      <c r="R381" s="10"/>
      <c r="S381" s="10"/>
      <c r="T381" s="10"/>
      <c r="U381" s="10"/>
    </row>
    <row r="382" spans="1:21" ht="12.75" x14ac:dyDescent="0.2">
      <c r="A382" s="10"/>
      <c r="B382" s="10"/>
      <c r="C382" s="10"/>
      <c r="D382" s="10"/>
      <c r="E382" s="10"/>
      <c r="F382" s="10"/>
      <c r="G382" s="10"/>
      <c r="H382" s="10"/>
      <c r="I382" s="10"/>
      <c r="J382" s="10"/>
      <c r="K382" s="10"/>
      <c r="L382" s="10"/>
      <c r="M382" s="10"/>
      <c r="N382" s="10"/>
      <c r="O382" s="10"/>
      <c r="P382" s="10"/>
      <c r="Q382" s="10"/>
      <c r="R382" s="10"/>
      <c r="S382" s="10"/>
      <c r="T382" s="10"/>
      <c r="U382" s="10"/>
    </row>
    <row r="383" spans="1:21" ht="12.75" x14ac:dyDescent="0.2">
      <c r="A383" s="10"/>
      <c r="B383" s="10"/>
      <c r="C383" s="10"/>
      <c r="D383" s="10"/>
      <c r="E383" s="10"/>
      <c r="F383" s="10"/>
      <c r="G383" s="10"/>
      <c r="H383" s="10"/>
      <c r="I383" s="10"/>
      <c r="J383" s="10"/>
      <c r="K383" s="10"/>
      <c r="L383" s="10"/>
      <c r="M383" s="10"/>
      <c r="N383" s="10"/>
      <c r="O383" s="10"/>
      <c r="P383" s="10"/>
      <c r="Q383" s="10"/>
      <c r="R383" s="10"/>
      <c r="S383" s="10"/>
      <c r="T383" s="10"/>
      <c r="U383" s="10"/>
    </row>
    <row r="384" spans="1:21" ht="12.75" x14ac:dyDescent="0.2">
      <c r="A384" s="10"/>
      <c r="B384" s="10"/>
      <c r="C384" s="10"/>
      <c r="D384" s="10"/>
      <c r="E384" s="10"/>
      <c r="F384" s="10"/>
      <c r="G384" s="10"/>
      <c r="H384" s="10"/>
      <c r="I384" s="10"/>
      <c r="J384" s="10"/>
      <c r="K384" s="10"/>
      <c r="L384" s="10"/>
      <c r="M384" s="10"/>
      <c r="N384" s="10"/>
      <c r="O384" s="10"/>
      <c r="P384" s="10"/>
      <c r="Q384" s="10"/>
      <c r="R384" s="10"/>
      <c r="S384" s="10"/>
      <c r="T384" s="10"/>
      <c r="U384" s="10"/>
    </row>
    <row r="385" spans="1:21" ht="12.75" x14ac:dyDescent="0.2">
      <c r="A385" s="10"/>
      <c r="B385" s="10"/>
      <c r="C385" s="10"/>
      <c r="D385" s="10"/>
      <c r="E385" s="10"/>
      <c r="F385" s="10"/>
      <c r="G385" s="10"/>
      <c r="H385" s="10"/>
      <c r="I385" s="10"/>
      <c r="J385" s="10"/>
      <c r="K385" s="10"/>
      <c r="L385" s="10"/>
      <c r="M385" s="10"/>
      <c r="N385" s="10"/>
      <c r="O385" s="10"/>
      <c r="P385" s="10"/>
      <c r="Q385" s="10"/>
      <c r="R385" s="10"/>
      <c r="S385" s="10"/>
      <c r="T385" s="10"/>
      <c r="U385" s="10"/>
    </row>
    <row r="386" spans="1:21" ht="12.75" x14ac:dyDescent="0.2">
      <c r="A386" s="10"/>
      <c r="B386" s="10"/>
      <c r="C386" s="10"/>
      <c r="D386" s="10"/>
      <c r="E386" s="10"/>
      <c r="F386" s="10"/>
      <c r="G386" s="10"/>
      <c r="H386" s="10"/>
      <c r="I386" s="10"/>
      <c r="J386" s="10"/>
      <c r="K386" s="10"/>
      <c r="L386" s="10"/>
      <c r="M386" s="10"/>
      <c r="N386" s="10"/>
      <c r="O386" s="10"/>
      <c r="P386" s="10"/>
      <c r="Q386" s="10"/>
      <c r="R386" s="10"/>
      <c r="S386" s="10"/>
      <c r="T386" s="10"/>
      <c r="U386" s="10"/>
    </row>
    <row r="387" spans="1:21" ht="12.75" x14ac:dyDescent="0.2">
      <c r="A387" s="10"/>
      <c r="B387" s="10"/>
      <c r="C387" s="10"/>
      <c r="D387" s="10"/>
      <c r="E387" s="10"/>
      <c r="F387" s="10"/>
      <c r="G387" s="10"/>
      <c r="H387" s="10"/>
      <c r="I387" s="10"/>
      <c r="J387" s="10"/>
      <c r="K387" s="10"/>
      <c r="L387" s="10"/>
      <c r="M387" s="10"/>
      <c r="N387" s="10"/>
      <c r="O387" s="10"/>
      <c r="P387" s="10"/>
      <c r="Q387" s="10"/>
      <c r="R387" s="10"/>
      <c r="S387" s="10"/>
      <c r="T387" s="10"/>
      <c r="U387" s="10"/>
    </row>
    <row r="388" spans="1:21" ht="12.75" x14ac:dyDescent="0.2">
      <c r="A388" s="10"/>
      <c r="B388" s="10"/>
      <c r="C388" s="10"/>
      <c r="D388" s="10"/>
      <c r="E388" s="10"/>
      <c r="F388" s="10"/>
      <c r="G388" s="10"/>
      <c r="H388" s="10"/>
      <c r="I388" s="10"/>
      <c r="J388" s="10"/>
      <c r="K388" s="10"/>
      <c r="L388" s="10"/>
      <c r="M388" s="10"/>
      <c r="N388" s="10"/>
      <c r="O388" s="10"/>
      <c r="P388" s="10"/>
      <c r="Q388" s="10"/>
      <c r="R388" s="10"/>
      <c r="S388" s="10"/>
      <c r="T388" s="10"/>
      <c r="U388" s="10"/>
    </row>
    <row r="389" spans="1:21" ht="12.75" x14ac:dyDescent="0.2">
      <c r="A389" s="10"/>
      <c r="B389" s="10"/>
      <c r="C389" s="10"/>
      <c r="D389" s="10"/>
      <c r="E389" s="10"/>
      <c r="F389" s="10"/>
      <c r="G389" s="10"/>
      <c r="H389" s="10"/>
      <c r="I389" s="10"/>
      <c r="J389" s="10"/>
      <c r="K389" s="10"/>
      <c r="L389" s="10"/>
      <c r="M389" s="10"/>
      <c r="N389" s="10"/>
      <c r="O389" s="10"/>
      <c r="P389" s="10"/>
      <c r="Q389" s="10"/>
      <c r="R389" s="10"/>
      <c r="S389" s="10"/>
      <c r="T389" s="10"/>
      <c r="U389" s="10"/>
    </row>
    <row r="390" spans="1:21" ht="12.75" x14ac:dyDescent="0.2">
      <c r="A390" s="10"/>
      <c r="B390" s="10"/>
      <c r="C390" s="10"/>
      <c r="D390" s="10"/>
      <c r="E390" s="10"/>
      <c r="F390" s="10"/>
      <c r="G390" s="10"/>
      <c r="H390" s="10"/>
      <c r="I390" s="10"/>
      <c r="J390" s="10"/>
      <c r="K390" s="10"/>
      <c r="L390" s="10"/>
      <c r="M390" s="10"/>
      <c r="N390" s="10"/>
      <c r="O390" s="10"/>
      <c r="P390" s="10"/>
      <c r="Q390" s="10"/>
      <c r="R390" s="10"/>
      <c r="S390" s="10"/>
      <c r="T390" s="10"/>
      <c r="U390" s="10"/>
    </row>
    <row r="391" spans="1:21" ht="12.75" x14ac:dyDescent="0.2">
      <c r="A391" s="10"/>
      <c r="B391" s="10"/>
      <c r="C391" s="10"/>
      <c r="D391" s="10"/>
      <c r="E391" s="10"/>
      <c r="F391" s="10"/>
      <c r="G391" s="10"/>
      <c r="H391" s="10"/>
      <c r="I391" s="10"/>
      <c r="J391" s="10"/>
      <c r="K391" s="10"/>
      <c r="L391" s="10"/>
      <c r="M391" s="10"/>
      <c r="N391" s="10"/>
      <c r="O391" s="10"/>
      <c r="P391" s="10"/>
      <c r="Q391" s="10"/>
      <c r="R391" s="10"/>
      <c r="S391" s="10"/>
      <c r="T391" s="10"/>
      <c r="U391" s="10"/>
    </row>
    <row r="392" spans="1:21" ht="12.75" x14ac:dyDescent="0.2">
      <c r="A392" s="10"/>
      <c r="B392" s="10"/>
      <c r="C392" s="10"/>
      <c r="D392" s="10"/>
      <c r="E392" s="10"/>
      <c r="F392" s="10"/>
      <c r="G392" s="10"/>
      <c r="H392" s="10"/>
      <c r="I392" s="10"/>
      <c r="J392" s="10"/>
      <c r="K392" s="10"/>
      <c r="L392" s="10"/>
      <c r="M392" s="10"/>
      <c r="N392" s="10"/>
      <c r="O392" s="10"/>
      <c r="P392" s="10"/>
      <c r="Q392" s="10"/>
      <c r="R392" s="10"/>
      <c r="S392" s="10"/>
      <c r="T392" s="10"/>
      <c r="U392" s="10"/>
    </row>
    <row r="393" spans="1:21" ht="12.75" x14ac:dyDescent="0.2">
      <c r="A393" s="10"/>
      <c r="B393" s="10"/>
      <c r="C393" s="10"/>
      <c r="D393" s="10"/>
      <c r="E393" s="10"/>
      <c r="F393" s="10"/>
      <c r="G393" s="10"/>
      <c r="H393" s="10"/>
      <c r="I393" s="10"/>
      <c r="J393" s="10"/>
      <c r="K393" s="10"/>
      <c r="L393" s="10"/>
      <c r="M393" s="10"/>
      <c r="N393" s="10"/>
      <c r="O393" s="10"/>
      <c r="P393" s="10"/>
      <c r="Q393" s="10"/>
      <c r="R393" s="10"/>
      <c r="S393" s="10"/>
      <c r="T393" s="10"/>
      <c r="U393" s="10"/>
    </row>
    <row r="394" spans="1:21" ht="12.75" x14ac:dyDescent="0.2">
      <c r="A394" s="10"/>
      <c r="B394" s="10"/>
      <c r="C394" s="10"/>
      <c r="D394" s="10"/>
      <c r="E394" s="10"/>
      <c r="F394" s="10"/>
      <c r="G394" s="10"/>
      <c r="H394" s="10"/>
      <c r="I394" s="10"/>
      <c r="J394" s="10"/>
      <c r="K394" s="10"/>
      <c r="L394" s="10"/>
      <c r="M394" s="10"/>
      <c r="N394" s="10"/>
      <c r="O394" s="10"/>
      <c r="P394" s="10"/>
      <c r="Q394" s="10"/>
      <c r="R394" s="10"/>
      <c r="S394" s="10"/>
      <c r="T394" s="10"/>
      <c r="U394" s="10"/>
    </row>
    <row r="395" spans="1:21" ht="12.75" x14ac:dyDescent="0.2">
      <c r="A395" s="10"/>
      <c r="B395" s="10"/>
      <c r="C395" s="10"/>
      <c r="D395" s="10"/>
      <c r="E395" s="10"/>
      <c r="F395" s="10"/>
      <c r="G395" s="10"/>
      <c r="H395" s="10"/>
      <c r="I395" s="10"/>
      <c r="J395" s="10"/>
      <c r="K395" s="10"/>
      <c r="L395" s="10"/>
      <c r="M395" s="10"/>
      <c r="N395" s="10"/>
      <c r="O395" s="10"/>
      <c r="P395" s="10"/>
      <c r="Q395" s="10"/>
      <c r="R395" s="10"/>
      <c r="S395" s="10"/>
      <c r="T395" s="10"/>
      <c r="U395" s="10"/>
    </row>
    <row r="396" spans="1:21" ht="12.75" x14ac:dyDescent="0.2">
      <c r="A396" s="10"/>
      <c r="B396" s="10"/>
      <c r="C396" s="10"/>
      <c r="D396" s="10"/>
      <c r="E396" s="10"/>
      <c r="F396" s="10"/>
      <c r="G396" s="10"/>
      <c r="H396" s="10"/>
      <c r="I396" s="10"/>
      <c r="J396" s="10"/>
      <c r="K396" s="10"/>
      <c r="L396" s="10"/>
      <c r="M396" s="10"/>
      <c r="N396" s="10"/>
      <c r="O396" s="10"/>
      <c r="P396" s="10"/>
      <c r="Q396" s="10"/>
      <c r="R396" s="10"/>
      <c r="S396" s="10"/>
      <c r="T396" s="10"/>
      <c r="U396" s="10"/>
    </row>
    <row r="397" spans="1:21" ht="12.75" x14ac:dyDescent="0.2">
      <c r="A397" s="10"/>
      <c r="B397" s="10"/>
      <c r="C397" s="10"/>
      <c r="D397" s="10"/>
      <c r="E397" s="10"/>
      <c r="F397" s="10"/>
      <c r="G397" s="10"/>
      <c r="H397" s="10"/>
      <c r="I397" s="10"/>
      <c r="J397" s="10"/>
      <c r="K397" s="10"/>
      <c r="L397" s="10"/>
      <c r="M397" s="10"/>
      <c r="N397" s="10"/>
      <c r="O397" s="10"/>
      <c r="P397" s="10"/>
      <c r="Q397" s="10"/>
      <c r="R397" s="10"/>
      <c r="S397" s="10"/>
      <c r="T397" s="10"/>
      <c r="U397" s="10"/>
    </row>
    <row r="398" spans="1:21" ht="12.75" x14ac:dyDescent="0.2">
      <c r="A398" s="10"/>
      <c r="B398" s="10"/>
      <c r="C398" s="10"/>
      <c r="D398" s="10"/>
      <c r="E398" s="10"/>
      <c r="F398" s="10"/>
      <c r="G398" s="10"/>
      <c r="H398" s="10"/>
      <c r="I398" s="10"/>
      <c r="J398" s="10"/>
      <c r="K398" s="10"/>
      <c r="L398" s="10"/>
      <c r="M398" s="10"/>
      <c r="N398" s="10"/>
      <c r="O398" s="10"/>
      <c r="P398" s="10"/>
      <c r="Q398" s="10"/>
      <c r="R398" s="10"/>
      <c r="S398" s="10"/>
      <c r="T398" s="10"/>
      <c r="U398" s="10"/>
    </row>
    <row r="399" spans="1:21" ht="12.75" x14ac:dyDescent="0.2">
      <c r="A399" s="10"/>
      <c r="B399" s="10"/>
      <c r="C399" s="10"/>
      <c r="D399" s="10"/>
      <c r="E399" s="10"/>
      <c r="F399" s="10"/>
      <c r="G399" s="10"/>
      <c r="H399" s="10"/>
      <c r="I399" s="10"/>
      <c r="J399" s="10"/>
      <c r="K399" s="10"/>
      <c r="L399" s="10"/>
      <c r="M399" s="10"/>
      <c r="N399" s="10"/>
      <c r="O399" s="10"/>
      <c r="P399" s="10"/>
      <c r="Q399" s="10"/>
      <c r="R399" s="10"/>
      <c r="S399" s="10"/>
      <c r="T399" s="10"/>
      <c r="U399" s="10"/>
    </row>
    <row r="400" spans="1:21" ht="12.75" x14ac:dyDescent="0.2">
      <c r="A400" s="10"/>
      <c r="B400" s="10"/>
      <c r="C400" s="10"/>
      <c r="D400" s="10"/>
      <c r="E400" s="10"/>
      <c r="F400" s="10"/>
      <c r="G400" s="10"/>
      <c r="H400" s="10"/>
      <c r="I400" s="10"/>
      <c r="J400" s="10"/>
      <c r="K400" s="10"/>
      <c r="L400" s="10"/>
      <c r="M400" s="10"/>
      <c r="N400" s="10"/>
      <c r="O400" s="10"/>
      <c r="P400" s="10"/>
      <c r="Q400" s="10"/>
      <c r="R400" s="10"/>
      <c r="S400" s="10"/>
      <c r="T400" s="10"/>
      <c r="U400" s="10"/>
    </row>
    <row r="401" spans="1:21" ht="12.75" x14ac:dyDescent="0.2">
      <c r="A401" s="10"/>
      <c r="B401" s="10"/>
      <c r="C401" s="10"/>
      <c r="D401" s="10"/>
      <c r="E401" s="10"/>
      <c r="F401" s="10"/>
      <c r="G401" s="10"/>
      <c r="H401" s="10"/>
      <c r="I401" s="10"/>
      <c r="J401" s="10"/>
      <c r="K401" s="10"/>
      <c r="L401" s="10"/>
      <c r="M401" s="10"/>
      <c r="N401" s="10"/>
      <c r="O401" s="10"/>
      <c r="P401" s="10"/>
      <c r="Q401" s="10"/>
      <c r="R401" s="10"/>
      <c r="S401" s="10"/>
      <c r="T401" s="10"/>
      <c r="U401" s="10"/>
    </row>
    <row r="402" spans="1:21" ht="12.75" x14ac:dyDescent="0.2">
      <c r="A402" s="10"/>
      <c r="B402" s="10"/>
      <c r="C402" s="10"/>
      <c r="D402" s="10"/>
      <c r="E402" s="10"/>
      <c r="F402" s="10"/>
      <c r="G402" s="10"/>
      <c r="H402" s="10"/>
      <c r="I402" s="10"/>
      <c r="J402" s="10"/>
      <c r="K402" s="10"/>
      <c r="L402" s="10"/>
      <c r="M402" s="10"/>
      <c r="N402" s="10"/>
      <c r="O402" s="10"/>
      <c r="P402" s="10"/>
      <c r="Q402" s="10"/>
      <c r="R402" s="10"/>
      <c r="S402" s="10"/>
      <c r="T402" s="10"/>
      <c r="U402" s="10"/>
    </row>
    <row r="403" spans="1:21" ht="12.75" x14ac:dyDescent="0.2">
      <c r="A403" s="10"/>
      <c r="B403" s="10"/>
      <c r="C403" s="10"/>
      <c r="D403" s="10"/>
      <c r="E403" s="10"/>
      <c r="F403" s="10"/>
      <c r="G403" s="10"/>
      <c r="H403" s="10"/>
      <c r="I403" s="10"/>
      <c r="J403" s="10"/>
      <c r="K403" s="10"/>
      <c r="L403" s="10"/>
      <c r="M403" s="10"/>
      <c r="N403" s="10"/>
      <c r="O403" s="10"/>
      <c r="P403" s="10"/>
      <c r="Q403" s="10"/>
      <c r="R403" s="10"/>
      <c r="S403" s="10"/>
      <c r="T403" s="10"/>
      <c r="U403" s="10"/>
    </row>
    <row r="404" spans="1:21" ht="12.75" x14ac:dyDescent="0.2">
      <c r="A404" s="10"/>
      <c r="B404" s="10"/>
      <c r="C404" s="10"/>
      <c r="D404" s="10"/>
      <c r="E404" s="10"/>
      <c r="F404" s="10"/>
      <c r="G404" s="10"/>
      <c r="H404" s="10"/>
      <c r="I404" s="10"/>
      <c r="J404" s="10"/>
      <c r="K404" s="10"/>
      <c r="L404" s="10"/>
      <c r="M404" s="10"/>
      <c r="N404" s="10"/>
      <c r="O404" s="10"/>
      <c r="P404" s="10"/>
      <c r="Q404" s="10"/>
      <c r="R404" s="10"/>
      <c r="S404" s="10"/>
      <c r="T404" s="10"/>
      <c r="U404" s="10"/>
    </row>
    <row r="405" spans="1:21" ht="12.75" x14ac:dyDescent="0.2">
      <c r="A405" s="10"/>
      <c r="B405" s="10"/>
      <c r="C405" s="10"/>
      <c r="D405" s="10"/>
      <c r="E405" s="10"/>
      <c r="F405" s="10"/>
      <c r="G405" s="10"/>
      <c r="H405" s="10"/>
      <c r="I405" s="10"/>
      <c r="J405" s="10"/>
      <c r="K405" s="10"/>
      <c r="L405" s="10"/>
      <c r="M405" s="10"/>
      <c r="N405" s="10"/>
      <c r="O405" s="10"/>
      <c r="P405" s="10"/>
      <c r="Q405" s="10"/>
      <c r="R405" s="10"/>
      <c r="S405" s="10"/>
      <c r="T405" s="10"/>
      <c r="U405" s="10"/>
    </row>
    <row r="406" spans="1:21" ht="12.75" x14ac:dyDescent="0.2">
      <c r="A406" s="10"/>
      <c r="B406" s="10"/>
      <c r="C406" s="10"/>
      <c r="D406" s="10"/>
      <c r="E406" s="10"/>
      <c r="F406" s="10"/>
      <c r="G406" s="10"/>
      <c r="H406" s="10"/>
      <c r="I406" s="10"/>
      <c r="J406" s="10"/>
      <c r="K406" s="10"/>
      <c r="L406" s="10"/>
      <c r="M406" s="10"/>
      <c r="N406" s="10"/>
      <c r="O406" s="10"/>
      <c r="P406" s="10"/>
      <c r="Q406" s="10"/>
      <c r="R406" s="10"/>
      <c r="S406" s="10"/>
      <c r="T406" s="10"/>
      <c r="U406" s="10"/>
    </row>
    <row r="407" spans="1:21" ht="12.75" x14ac:dyDescent="0.2">
      <c r="A407" s="10"/>
      <c r="B407" s="10"/>
      <c r="C407" s="10"/>
      <c r="D407" s="10"/>
      <c r="E407" s="10"/>
      <c r="F407" s="10"/>
      <c r="G407" s="10"/>
      <c r="H407" s="10"/>
      <c r="I407" s="10"/>
      <c r="J407" s="10"/>
      <c r="K407" s="10"/>
      <c r="L407" s="10"/>
      <c r="M407" s="10"/>
      <c r="N407" s="10"/>
      <c r="O407" s="10"/>
      <c r="P407" s="10"/>
      <c r="Q407" s="10"/>
      <c r="R407" s="10"/>
      <c r="S407" s="10"/>
      <c r="T407" s="10"/>
      <c r="U407" s="10"/>
    </row>
    <row r="408" spans="1:21" ht="12.75" x14ac:dyDescent="0.2">
      <c r="A408" s="10"/>
      <c r="B408" s="10"/>
      <c r="C408" s="10"/>
      <c r="D408" s="10"/>
      <c r="E408" s="10"/>
      <c r="F408" s="10"/>
      <c r="G408" s="10"/>
      <c r="H408" s="10"/>
      <c r="I408" s="10"/>
      <c r="J408" s="10"/>
      <c r="K408" s="10"/>
      <c r="L408" s="10"/>
      <c r="M408" s="10"/>
      <c r="N408" s="10"/>
      <c r="O408" s="10"/>
      <c r="P408" s="10"/>
      <c r="Q408" s="10"/>
      <c r="R408" s="10"/>
      <c r="S408" s="10"/>
      <c r="T408" s="10"/>
      <c r="U408" s="10"/>
    </row>
    <row r="409" spans="1:21" ht="12.75" x14ac:dyDescent="0.2">
      <c r="A409" s="10"/>
      <c r="B409" s="10"/>
      <c r="C409" s="10"/>
      <c r="D409" s="10"/>
      <c r="E409" s="10"/>
      <c r="F409" s="10"/>
      <c r="G409" s="10"/>
      <c r="H409" s="10"/>
      <c r="I409" s="10"/>
      <c r="J409" s="10"/>
      <c r="K409" s="10"/>
      <c r="L409" s="10"/>
      <c r="M409" s="10"/>
      <c r="N409" s="10"/>
      <c r="O409" s="10"/>
      <c r="P409" s="10"/>
      <c r="Q409" s="10"/>
      <c r="R409" s="10"/>
      <c r="S409" s="10"/>
      <c r="T409" s="10"/>
      <c r="U409" s="10"/>
    </row>
    <row r="410" spans="1:21" ht="12.75" x14ac:dyDescent="0.2">
      <c r="A410" s="10"/>
      <c r="B410" s="10"/>
      <c r="C410" s="10"/>
      <c r="D410" s="10"/>
      <c r="E410" s="10"/>
      <c r="F410" s="10"/>
      <c r="G410" s="10"/>
      <c r="H410" s="10"/>
      <c r="I410" s="10"/>
      <c r="J410" s="10"/>
      <c r="K410" s="10"/>
      <c r="L410" s="10"/>
      <c r="M410" s="10"/>
      <c r="N410" s="10"/>
      <c r="O410" s="10"/>
      <c r="P410" s="10"/>
      <c r="Q410" s="10"/>
      <c r="R410" s="10"/>
      <c r="S410" s="10"/>
      <c r="T410" s="10"/>
      <c r="U410" s="10"/>
    </row>
    <row r="411" spans="1:21" ht="12.75" x14ac:dyDescent="0.2">
      <c r="A411" s="10"/>
      <c r="B411" s="10"/>
      <c r="C411" s="10"/>
      <c r="D411" s="10"/>
      <c r="E411" s="10"/>
      <c r="F411" s="10"/>
      <c r="G411" s="10"/>
      <c r="H411" s="10"/>
      <c r="I411" s="10"/>
      <c r="J411" s="10"/>
      <c r="K411" s="10"/>
      <c r="L411" s="10"/>
      <c r="M411" s="10"/>
      <c r="N411" s="10"/>
      <c r="O411" s="10"/>
      <c r="P411" s="10"/>
      <c r="Q411" s="10"/>
      <c r="R411" s="10"/>
      <c r="S411" s="10"/>
      <c r="T411" s="10"/>
      <c r="U411" s="10"/>
    </row>
    <row r="412" spans="1:21" ht="12.75" x14ac:dyDescent="0.2">
      <c r="A412" s="10"/>
      <c r="B412" s="10"/>
      <c r="C412" s="10"/>
      <c r="D412" s="10"/>
      <c r="E412" s="10"/>
      <c r="F412" s="10"/>
      <c r="G412" s="10"/>
      <c r="H412" s="10"/>
      <c r="I412" s="10"/>
      <c r="J412" s="10"/>
      <c r="K412" s="10"/>
      <c r="L412" s="10"/>
      <c r="M412" s="10"/>
      <c r="N412" s="10"/>
      <c r="O412" s="10"/>
      <c r="P412" s="10"/>
      <c r="Q412" s="10"/>
      <c r="R412" s="10"/>
      <c r="S412" s="10"/>
      <c r="T412" s="10"/>
      <c r="U412" s="10"/>
    </row>
    <row r="413" spans="1:21" ht="12.75" x14ac:dyDescent="0.2">
      <c r="A413" s="10"/>
      <c r="B413" s="10"/>
      <c r="C413" s="10"/>
      <c r="D413" s="10"/>
      <c r="E413" s="10"/>
      <c r="F413" s="10"/>
      <c r="G413" s="10"/>
      <c r="H413" s="10"/>
      <c r="I413" s="10"/>
      <c r="J413" s="10"/>
      <c r="K413" s="10"/>
      <c r="L413" s="10"/>
      <c r="M413" s="10"/>
      <c r="N413" s="10"/>
      <c r="O413" s="10"/>
      <c r="P413" s="10"/>
      <c r="Q413" s="10"/>
      <c r="R413" s="10"/>
      <c r="S413" s="10"/>
      <c r="T413" s="10"/>
      <c r="U413" s="10"/>
    </row>
    <row r="414" spans="1:21" ht="12.75" x14ac:dyDescent="0.2">
      <c r="A414" s="10"/>
      <c r="B414" s="10"/>
      <c r="C414" s="10"/>
      <c r="D414" s="10"/>
      <c r="E414" s="10"/>
      <c r="F414" s="10"/>
      <c r="G414" s="10"/>
      <c r="H414" s="10"/>
      <c r="I414" s="10"/>
      <c r="J414" s="10"/>
      <c r="K414" s="10"/>
      <c r="L414" s="10"/>
      <c r="M414" s="10"/>
      <c r="N414" s="10"/>
      <c r="O414" s="10"/>
      <c r="P414" s="10"/>
      <c r="Q414" s="10"/>
      <c r="R414" s="10"/>
      <c r="S414" s="10"/>
      <c r="T414" s="10"/>
      <c r="U414" s="10"/>
    </row>
    <row r="415" spans="1:21" ht="12.75" x14ac:dyDescent="0.2">
      <c r="A415" s="10"/>
      <c r="B415" s="10"/>
      <c r="C415" s="10"/>
      <c r="D415" s="10"/>
      <c r="E415" s="10"/>
      <c r="F415" s="10"/>
      <c r="G415" s="10"/>
      <c r="H415" s="10"/>
      <c r="I415" s="10"/>
      <c r="J415" s="10"/>
      <c r="K415" s="10"/>
      <c r="L415" s="10"/>
      <c r="M415" s="10"/>
      <c r="N415" s="10"/>
      <c r="O415" s="10"/>
      <c r="P415" s="10"/>
      <c r="Q415" s="10"/>
      <c r="R415" s="10"/>
      <c r="S415" s="10"/>
      <c r="T415" s="10"/>
      <c r="U415" s="10"/>
    </row>
    <row r="416" spans="1:21" ht="12.75" x14ac:dyDescent="0.2">
      <c r="A416" s="10"/>
      <c r="B416" s="10"/>
      <c r="C416" s="10"/>
      <c r="D416" s="10"/>
      <c r="E416" s="10"/>
      <c r="F416" s="10"/>
      <c r="G416" s="10"/>
      <c r="H416" s="10"/>
      <c r="I416" s="10"/>
      <c r="J416" s="10"/>
      <c r="K416" s="10"/>
      <c r="L416" s="10"/>
      <c r="M416" s="10"/>
      <c r="N416" s="10"/>
      <c r="O416" s="10"/>
      <c r="P416" s="10"/>
      <c r="Q416" s="10"/>
      <c r="R416" s="10"/>
      <c r="S416" s="10"/>
      <c r="T416" s="10"/>
      <c r="U416" s="10"/>
    </row>
    <row r="417" spans="1:21" ht="12.75" x14ac:dyDescent="0.2">
      <c r="A417" s="10"/>
      <c r="B417" s="10"/>
      <c r="C417" s="10"/>
      <c r="D417" s="10"/>
      <c r="E417" s="10"/>
      <c r="F417" s="10"/>
      <c r="G417" s="10"/>
      <c r="H417" s="10"/>
      <c r="I417" s="10"/>
      <c r="J417" s="10"/>
      <c r="K417" s="10"/>
      <c r="L417" s="10"/>
      <c r="M417" s="10"/>
      <c r="N417" s="10"/>
      <c r="O417" s="10"/>
      <c r="P417" s="10"/>
      <c r="Q417" s="10"/>
      <c r="R417" s="10"/>
      <c r="S417" s="10"/>
      <c r="T417" s="10"/>
      <c r="U417" s="10"/>
    </row>
    <row r="418" spans="1:21" ht="12.75" x14ac:dyDescent="0.2">
      <c r="A418" s="10"/>
      <c r="B418" s="10"/>
      <c r="C418" s="10"/>
      <c r="D418" s="10"/>
      <c r="E418" s="10"/>
      <c r="F418" s="10"/>
      <c r="G418" s="10"/>
      <c r="H418" s="10"/>
      <c r="I418" s="10"/>
      <c r="J418" s="10"/>
      <c r="K418" s="10"/>
      <c r="L418" s="10"/>
      <c r="M418" s="10"/>
      <c r="N418" s="10"/>
      <c r="O418" s="10"/>
      <c r="P418" s="10"/>
      <c r="Q418" s="10"/>
      <c r="R418" s="10"/>
      <c r="S418" s="10"/>
      <c r="T418" s="10"/>
      <c r="U418" s="10"/>
    </row>
    <row r="419" spans="1:21" ht="12.75" x14ac:dyDescent="0.2">
      <c r="A419" s="10"/>
      <c r="B419" s="10"/>
      <c r="C419" s="10"/>
      <c r="D419" s="10"/>
      <c r="E419" s="10"/>
      <c r="F419" s="10"/>
      <c r="G419" s="10"/>
      <c r="H419" s="10"/>
      <c r="I419" s="10"/>
      <c r="J419" s="10"/>
      <c r="K419" s="10"/>
      <c r="L419" s="10"/>
      <c r="M419" s="10"/>
      <c r="N419" s="10"/>
      <c r="O419" s="10"/>
      <c r="P419" s="10"/>
      <c r="Q419" s="10"/>
      <c r="R419" s="10"/>
      <c r="S419" s="10"/>
      <c r="T419" s="10"/>
      <c r="U419" s="10"/>
    </row>
    <row r="420" spans="1:21" ht="12.75" x14ac:dyDescent="0.2">
      <c r="A420" s="10"/>
      <c r="B420" s="10"/>
      <c r="C420" s="10"/>
      <c r="D420" s="10"/>
      <c r="E420" s="10"/>
      <c r="F420" s="10"/>
      <c r="G420" s="10"/>
      <c r="H420" s="10"/>
      <c r="I420" s="10"/>
      <c r="J420" s="10"/>
      <c r="K420" s="10"/>
      <c r="L420" s="10"/>
      <c r="M420" s="10"/>
      <c r="N420" s="10"/>
      <c r="O420" s="10"/>
      <c r="P420" s="10"/>
      <c r="Q420" s="10"/>
      <c r="R420" s="10"/>
      <c r="S420" s="10"/>
      <c r="T420" s="10"/>
      <c r="U420" s="10"/>
    </row>
    <row r="421" spans="1:21" ht="12.75" x14ac:dyDescent="0.2">
      <c r="A421" s="10"/>
      <c r="B421" s="10"/>
      <c r="C421" s="10"/>
      <c r="D421" s="10"/>
      <c r="E421" s="10"/>
      <c r="F421" s="10"/>
      <c r="G421" s="10"/>
      <c r="H421" s="10"/>
      <c r="I421" s="10"/>
      <c r="J421" s="10"/>
      <c r="K421" s="10"/>
      <c r="L421" s="10"/>
      <c r="M421" s="10"/>
      <c r="N421" s="10"/>
      <c r="O421" s="10"/>
      <c r="P421" s="10"/>
      <c r="Q421" s="10"/>
      <c r="R421" s="10"/>
      <c r="S421" s="10"/>
      <c r="T421" s="10"/>
      <c r="U421" s="10"/>
    </row>
    <row r="422" spans="1:21" ht="12.75" x14ac:dyDescent="0.2">
      <c r="A422" s="10"/>
      <c r="B422" s="10"/>
      <c r="C422" s="10"/>
      <c r="D422" s="10"/>
      <c r="E422" s="10"/>
      <c r="F422" s="10"/>
      <c r="G422" s="10"/>
      <c r="H422" s="10"/>
      <c r="I422" s="10"/>
      <c r="J422" s="10"/>
      <c r="K422" s="10"/>
      <c r="L422" s="10"/>
      <c r="M422" s="10"/>
      <c r="N422" s="10"/>
      <c r="O422" s="10"/>
      <c r="P422" s="10"/>
      <c r="Q422" s="10"/>
      <c r="R422" s="10"/>
      <c r="S422" s="10"/>
      <c r="T422" s="10"/>
      <c r="U422" s="10"/>
    </row>
    <row r="423" spans="1:21" ht="12.75" x14ac:dyDescent="0.2">
      <c r="A423" s="10"/>
      <c r="B423" s="10"/>
      <c r="C423" s="10"/>
      <c r="D423" s="10"/>
      <c r="E423" s="10"/>
      <c r="F423" s="10"/>
      <c r="G423" s="10"/>
      <c r="H423" s="10"/>
      <c r="I423" s="10"/>
      <c r="J423" s="10"/>
      <c r="K423" s="10"/>
      <c r="L423" s="10"/>
      <c r="M423" s="10"/>
      <c r="N423" s="10"/>
      <c r="O423" s="10"/>
      <c r="P423" s="10"/>
      <c r="Q423" s="10"/>
      <c r="R423" s="10"/>
      <c r="S423" s="10"/>
      <c r="T423" s="10"/>
      <c r="U423" s="10"/>
    </row>
    <row r="424" spans="1:21" ht="12.75" x14ac:dyDescent="0.2">
      <c r="A424" s="10"/>
      <c r="B424" s="10"/>
      <c r="C424" s="10"/>
      <c r="D424" s="10"/>
      <c r="E424" s="10"/>
      <c r="F424" s="10"/>
      <c r="G424" s="10"/>
      <c r="H424" s="10"/>
      <c r="I424" s="10"/>
      <c r="J424" s="10"/>
      <c r="K424" s="10"/>
      <c r="L424" s="10"/>
      <c r="M424" s="10"/>
      <c r="N424" s="10"/>
      <c r="O424" s="10"/>
      <c r="P424" s="10"/>
      <c r="Q424" s="10"/>
      <c r="R424" s="10"/>
      <c r="S424" s="10"/>
      <c r="T424" s="10"/>
      <c r="U424" s="10"/>
    </row>
    <row r="425" spans="1:21" ht="12.75" x14ac:dyDescent="0.2">
      <c r="A425" s="10"/>
      <c r="B425" s="10"/>
      <c r="C425" s="10"/>
      <c r="D425" s="10"/>
      <c r="E425" s="10"/>
      <c r="F425" s="10"/>
      <c r="G425" s="10"/>
      <c r="H425" s="10"/>
      <c r="I425" s="10"/>
      <c r="J425" s="10"/>
      <c r="K425" s="10"/>
      <c r="L425" s="10"/>
      <c r="M425" s="10"/>
      <c r="N425" s="10"/>
      <c r="O425" s="10"/>
      <c r="P425" s="10"/>
      <c r="Q425" s="10"/>
      <c r="R425" s="10"/>
      <c r="S425" s="10"/>
      <c r="T425" s="10"/>
      <c r="U425" s="10"/>
    </row>
    <row r="426" spans="1:21" ht="12.75" x14ac:dyDescent="0.2">
      <c r="A426" s="10"/>
      <c r="B426" s="10"/>
      <c r="C426" s="10"/>
      <c r="D426" s="10"/>
      <c r="E426" s="10"/>
      <c r="F426" s="10"/>
      <c r="G426" s="10"/>
      <c r="H426" s="10"/>
      <c r="I426" s="10"/>
      <c r="J426" s="10"/>
      <c r="K426" s="10"/>
      <c r="L426" s="10"/>
      <c r="M426" s="10"/>
      <c r="N426" s="10"/>
      <c r="O426" s="10"/>
      <c r="P426" s="10"/>
      <c r="Q426" s="10"/>
      <c r="R426" s="10"/>
      <c r="S426" s="10"/>
      <c r="T426" s="10"/>
      <c r="U426" s="10"/>
    </row>
    <row r="427" spans="1:21" ht="12.75" x14ac:dyDescent="0.2">
      <c r="A427" s="10"/>
      <c r="B427" s="10"/>
      <c r="C427" s="10"/>
      <c r="D427" s="10"/>
      <c r="E427" s="10"/>
      <c r="F427" s="10"/>
      <c r="G427" s="10"/>
      <c r="H427" s="10"/>
      <c r="I427" s="10"/>
      <c r="J427" s="10"/>
      <c r="K427" s="10"/>
      <c r="L427" s="10"/>
      <c r="M427" s="10"/>
      <c r="N427" s="10"/>
      <c r="O427" s="10"/>
      <c r="P427" s="10"/>
      <c r="Q427" s="10"/>
      <c r="R427" s="10"/>
      <c r="S427" s="10"/>
      <c r="T427" s="10"/>
      <c r="U427" s="10"/>
    </row>
    <row r="428" spans="1:21" ht="12.75" x14ac:dyDescent="0.2">
      <c r="A428" s="10"/>
      <c r="B428" s="10"/>
      <c r="C428" s="10"/>
      <c r="D428" s="10"/>
      <c r="E428" s="10"/>
      <c r="F428" s="10"/>
      <c r="G428" s="10"/>
      <c r="H428" s="10"/>
      <c r="I428" s="10"/>
      <c r="J428" s="10"/>
      <c r="K428" s="10"/>
      <c r="L428" s="10"/>
      <c r="M428" s="10"/>
      <c r="N428" s="10"/>
      <c r="O428" s="10"/>
      <c r="P428" s="10"/>
      <c r="Q428" s="10"/>
      <c r="R428" s="10"/>
      <c r="S428" s="10"/>
      <c r="T428" s="10"/>
      <c r="U428" s="10"/>
    </row>
    <row r="429" spans="1:21" ht="12.75" x14ac:dyDescent="0.2">
      <c r="A429" s="10"/>
      <c r="B429" s="10"/>
      <c r="C429" s="10"/>
      <c r="D429" s="10"/>
      <c r="E429" s="10"/>
      <c r="F429" s="10"/>
      <c r="G429" s="10"/>
      <c r="H429" s="10"/>
      <c r="I429" s="10"/>
      <c r="J429" s="10"/>
      <c r="K429" s="10"/>
      <c r="L429" s="10"/>
      <c r="M429" s="10"/>
      <c r="N429" s="10"/>
      <c r="O429" s="10"/>
      <c r="P429" s="10"/>
      <c r="Q429" s="10"/>
      <c r="R429" s="10"/>
      <c r="S429" s="10"/>
      <c r="T429" s="10"/>
      <c r="U429" s="10"/>
    </row>
    <row r="430" spans="1:21" ht="12.75" x14ac:dyDescent="0.2">
      <c r="A430" s="10"/>
      <c r="B430" s="10"/>
      <c r="C430" s="10"/>
      <c r="D430" s="10"/>
      <c r="E430" s="10"/>
      <c r="F430" s="10"/>
      <c r="G430" s="10"/>
      <c r="H430" s="10"/>
      <c r="I430" s="10"/>
      <c r="J430" s="10"/>
      <c r="K430" s="10"/>
      <c r="L430" s="10"/>
      <c r="M430" s="10"/>
      <c r="N430" s="10"/>
      <c r="O430" s="10"/>
      <c r="P430" s="10"/>
      <c r="Q430" s="10"/>
      <c r="R430" s="10"/>
      <c r="S430" s="10"/>
      <c r="T430" s="10"/>
      <c r="U430" s="10"/>
    </row>
    <row r="431" spans="1:21" ht="12.75" x14ac:dyDescent="0.2">
      <c r="A431" s="10"/>
      <c r="B431" s="10"/>
      <c r="C431" s="10"/>
      <c r="D431" s="10"/>
      <c r="E431" s="10"/>
      <c r="F431" s="10"/>
      <c r="G431" s="10"/>
      <c r="H431" s="10"/>
      <c r="I431" s="10"/>
      <c r="J431" s="10"/>
      <c r="K431" s="10"/>
      <c r="L431" s="10"/>
      <c r="M431" s="10"/>
      <c r="N431" s="10"/>
      <c r="O431" s="10"/>
      <c r="P431" s="10"/>
      <c r="Q431" s="10"/>
      <c r="R431" s="10"/>
      <c r="S431" s="10"/>
      <c r="T431" s="10"/>
      <c r="U431" s="10"/>
    </row>
    <row r="432" spans="1:21" ht="12.75" x14ac:dyDescent="0.2">
      <c r="A432" s="10"/>
      <c r="B432" s="10"/>
      <c r="C432" s="10"/>
      <c r="D432" s="10"/>
      <c r="E432" s="10"/>
      <c r="F432" s="10"/>
      <c r="G432" s="10"/>
      <c r="H432" s="10"/>
      <c r="I432" s="10"/>
      <c r="J432" s="10"/>
      <c r="K432" s="10"/>
      <c r="L432" s="10"/>
      <c r="M432" s="10"/>
      <c r="N432" s="10"/>
      <c r="O432" s="10"/>
      <c r="P432" s="10"/>
      <c r="Q432" s="10"/>
      <c r="R432" s="10"/>
      <c r="S432" s="10"/>
      <c r="T432" s="10"/>
      <c r="U432" s="10"/>
    </row>
    <row r="433" spans="1:21" ht="12.75" x14ac:dyDescent="0.2">
      <c r="A433" s="10"/>
      <c r="B433" s="10"/>
      <c r="C433" s="10"/>
      <c r="D433" s="10"/>
      <c r="E433" s="10"/>
      <c r="F433" s="10"/>
      <c r="G433" s="10"/>
      <c r="H433" s="10"/>
      <c r="I433" s="10"/>
      <c r="J433" s="10"/>
      <c r="K433" s="10"/>
      <c r="L433" s="10"/>
      <c r="M433" s="10"/>
      <c r="N433" s="10"/>
      <c r="O433" s="10"/>
      <c r="P433" s="10"/>
      <c r="Q433" s="10"/>
      <c r="R433" s="10"/>
      <c r="S433" s="10"/>
      <c r="T433" s="10"/>
      <c r="U433" s="10"/>
    </row>
    <row r="434" spans="1:21" ht="12.75" x14ac:dyDescent="0.2">
      <c r="A434" s="10"/>
      <c r="B434" s="10"/>
      <c r="C434" s="10"/>
      <c r="D434" s="10"/>
      <c r="E434" s="10"/>
      <c r="F434" s="10"/>
      <c r="G434" s="10"/>
      <c r="H434" s="10"/>
      <c r="I434" s="10"/>
      <c r="J434" s="10"/>
      <c r="K434" s="10"/>
      <c r="L434" s="10"/>
      <c r="M434" s="10"/>
      <c r="N434" s="10"/>
      <c r="O434" s="10"/>
      <c r="P434" s="10"/>
      <c r="Q434" s="10"/>
      <c r="R434" s="10"/>
      <c r="S434" s="10"/>
      <c r="T434" s="10"/>
      <c r="U434" s="10"/>
    </row>
    <row r="435" spans="1:21" ht="12.75" x14ac:dyDescent="0.2">
      <c r="A435" s="10"/>
      <c r="B435" s="10"/>
      <c r="C435" s="10"/>
      <c r="D435" s="10"/>
      <c r="E435" s="10"/>
      <c r="F435" s="10"/>
      <c r="G435" s="10"/>
      <c r="H435" s="10"/>
      <c r="I435" s="10"/>
      <c r="J435" s="10"/>
      <c r="K435" s="10"/>
      <c r="L435" s="10"/>
      <c r="M435" s="10"/>
      <c r="N435" s="10"/>
      <c r="O435" s="10"/>
      <c r="P435" s="10"/>
      <c r="Q435" s="10"/>
      <c r="R435" s="10"/>
      <c r="S435" s="10"/>
      <c r="T435" s="10"/>
      <c r="U435" s="10"/>
    </row>
    <row r="436" spans="1:21" ht="12.75" x14ac:dyDescent="0.2">
      <c r="A436" s="10"/>
      <c r="B436" s="10"/>
      <c r="C436" s="10"/>
      <c r="D436" s="10"/>
      <c r="E436" s="10"/>
      <c r="F436" s="10"/>
      <c r="G436" s="10"/>
      <c r="H436" s="10"/>
      <c r="I436" s="10"/>
      <c r="J436" s="10"/>
      <c r="K436" s="10"/>
      <c r="L436" s="10"/>
      <c r="M436" s="10"/>
      <c r="N436" s="10"/>
      <c r="O436" s="10"/>
      <c r="P436" s="10"/>
      <c r="Q436" s="10"/>
      <c r="R436" s="10"/>
      <c r="S436" s="10"/>
      <c r="T436" s="10"/>
      <c r="U436" s="10"/>
    </row>
    <row r="437" spans="1:21" ht="12.75" x14ac:dyDescent="0.2">
      <c r="A437" s="10"/>
      <c r="B437" s="10"/>
      <c r="C437" s="10"/>
      <c r="D437" s="10"/>
      <c r="E437" s="10"/>
      <c r="F437" s="10"/>
      <c r="G437" s="10"/>
      <c r="H437" s="10"/>
      <c r="I437" s="10"/>
      <c r="J437" s="10"/>
      <c r="K437" s="10"/>
      <c r="L437" s="10"/>
      <c r="M437" s="10"/>
      <c r="N437" s="10"/>
      <c r="O437" s="10"/>
      <c r="P437" s="10"/>
      <c r="Q437" s="10"/>
      <c r="R437" s="10"/>
      <c r="S437" s="10"/>
      <c r="T437" s="10"/>
      <c r="U437" s="10"/>
    </row>
    <row r="438" spans="1:21" ht="12.75" x14ac:dyDescent="0.2">
      <c r="A438" s="10"/>
      <c r="B438" s="10"/>
      <c r="C438" s="10"/>
      <c r="D438" s="10"/>
      <c r="E438" s="10"/>
      <c r="F438" s="10"/>
      <c r="G438" s="10"/>
      <c r="H438" s="10"/>
      <c r="I438" s="10"/>
      <c r="J438" s="10"/>
      <c r="K438" s="10"/>
      <c r="L438" s="10"/>
      <c r="M438" s="10"/>
      <c r="N438" s="10"/>
      <c r="O438" s="10"/>
      <c r="P438" s="10"/>
      <c r="Q438" s="10"/>
      <c r="R438" s="10"/>
      <c r="S438" s="10"/>
      <c r="T438" s="10"/>
      <c r="U438" s="10"/>
    </row>
    <row r="439" spans="1:21" ht="12.75" x14ac:dyDescent="0.2">
      <c r="A439" s="10"/>
      <c r="B439" s="10"/>
      <c r="C439" s="10"/>
      <c r="D439" s="10"/>
      <c r="E439" s="10"/>
      <c r="F439" s="10"/>
      <c r="G439" s="10"/>
      <c r="H439" s="10"/>
      <c r="I439" s="10"/>
      <c r="J439" s="10"/>
      <c r="K439" s="10"/>
      <c r="L439" s="10"/>
      <c r="M439" s="10"/>
      <c r="N439" s="10"/>
      <c r="O439" s="10"/>
      <c r="P439" s="10"/>
      <c r="Q439" s="10"/>
      <c r="R439" s="10"/>
      <c r="S439" s="10"/>
      <c r="T439" s="10"/>
      <c r="U439" s="10"/>
    </row>
    <row r="440" spans="1:21" ht="12.75" x14ac:dyDescent="0.2">
      <c r="A440" s="10"/>
      <c r="B440" s="10"/>
      <c r="C440" s="10"/>
      <c r="D440" s="10"/>
      <c r="E440" s="10"/>
      <c r="F440" s="10"/>
      <c r="G440" s="10"/>
      <c r="H440" s="10"/>
      <c r="I440" s="10"/>
      <c r="J440" s="10"/>
      <c r="K440" s="10"/>
      <c r="L440" s="10"/>
      <c r="M440" s="10"/>
      <c r="N440" s="10"/>
      <c r="O440" s="10"/>
      <c r="P440" s="10"/>
      <c r="Q440" s="10"/>
      <c r="R440" s="10"/>
      <c r="S440" s="10"/>
      <c r="T440" s="10"/>
      <c r="U440" s="10"/>
    </row>
    <row r="441" spans="1:21" ht="12.75" x14ac:dyDescent="0.2">
      <c r="A441" s="10"/>
      <c r="B441" s="10"/>
      <c r="C441" s="10"/>
      <c r="D441" s="10"/>
      <c r="E441" s="10"/>
      <c r="F441" s="10"/>
      <c r="G441" s="10"/>
      <c r="H441" s="10"/>
      <c r="I441" s="10"/>
      <c r="J441" s="10"/>
      <c r="K441" s="10"/>
      <c r="L441" s="10"/>
      <c r="M441" s="10"/>
      <c r="N441" s="10"/>
      <c r="O441" s="10"/>
      <c r="P441" s="10"/>
      <c r="Q441" s="10"/>
      <c r="R441" s="10"/>
      <c r="S441" s="10"/>
      <c r="T441" s="10"/>
      <c r="U441" s="10"/>
    </row>
    <row r="442" spans="1:21" ht="12.75" x14ac:dyDescent="0.2">
      <c r="A442" s="10"/>
      <c r="B442" s="10"/>
      <c r="C442" s="10"/>
      <c r="D442" s="10"/>
      <c r="E442" s="10"/>
      <c r="F442" s="10"/>
      <c r="G442" s="10"/>
      <c r="H442" s="10"/>
      <c r="I442" s="10"/>
      <c r="J442" s="10"/>
      <c r="K442" s="10"/>
      <c r="L442" s="10"/>
      <c r="M442" s="10"/>
      <c r="N442" s="10"/>
      <c r="O442" s="10"/>
      <c r="P442" s="10"/>
      <c r="Q442" s="10"/>
      <c r="R442" s="10"/>
      <c r="S442" s="10"/>
      <c r="T442" s="10"/>
      <c r="U442" s="10"/>
    </row>
    <row r="443" spans="1:21" ht="12.75" x14ac:dyDescent="0.2">
      <c r="A443" s="10"/>
      <c r="B443" s="10"/>
      <c r="C443" s="10"/>
      <c r="D443" s="10"/>
      <c r="E443" s="10"/>
      <c r="F443" s="10"/>
      <c r="G443" s="10"/>
      <c r="H443" s="10"/>
      <c r="I443" s="10"/>
      <c r="J443" s="10"/>
      <c r="K443" s="10"/>
      <c r="L443" s="10"/>
      <c r="M443" s="10"/>
      <c r="N443" s="10"/>
      <c r="O443" s="10"/>
      <c r="P443" s="10"/>
      <c r="Q443" s="10"/>
      <c r="R443" s="10"/>
      <c r="S443" s="10"/>
      <c r="T443" s="10"/>
      <c r="U443" s="10"/>
    </row>
    <row r="444" spans="1:21" ht="12.75" x14ac:dyDescent="0.2">
      <c r="A444" s="10"/>
      <c r="B444" s="10"/>
      <c r="C444" s="10"/>
      <c r="D444" s="10"/>
      <c r="E444" s="10"/>
      <c r="F444" s="10"/>
      <c r="G444" s="10"/>
      <c r="H444" s="10"/>
      <c r="I444" s="10"/>
      <c r="J444" s="10"/>
      <c r="K444" s="10"/>
      <c r="L444" s="10"/>
      <c r="M444" s="10"/>
      <c r="N444" s="10"/>
      <c r="O444" s="10"/>
      <c r="P444" s="10"/>
      <c r="Q444" s="10"/>
      <c r="R444" s="10"/>
      <c r="S444" s="10"/>
      <c r="T444" s="10"/>
      <c r="U444" s="10"/>
    </row>
    <row r="445" spans="1:21" ht="12.75" x14ac:dyDescent="0.2">
      <c r="A445" s="10"/>
      <c r="B445" s="10"/>
      <c r="C445" s="10"/>
      <c r="D445" s="10"/>
      <c r="E445" s="10"/>
      <c r="F445" s="10"/>
      <c r="G445" s="10"/>
      <c r="H445" s="10"/>
      <c r="I445" s="10"/>
      <c r="J445" s="10"/>
      <c r="K445" s="10"/>
      <c r="L445" s="10"/>
      <c r="M445" s="10"/>
      <c r="N445" s="10"/>
      <c r="O445" s="10"/>
      <c r="P445" s="10"/>
      <c r="Q445" s="10"/>
      <c r="R445" s="10"/>
      <c r="S445" s="10"/>
      <c r="T445" s="10"/>
      <c r="U445" s="10"/>
    </row>
    <row r="446" spans="1:21" ht="12.75" x14ac:dyDescent="0.2">
      <c r="A446" s="10"/>
      <c r="B446" s="10"/>
      <c r="C446" s="10"/>
      <c r="D446" s="10"/>
      <c r="E446" s="10"/>
      <c r="F446" s="10"/>
      <c r="G446" s="10"/>
      <c r="H446" s="10"/>
      <c r="I446" s="10"/>
      <c r="J446" s="10"/>
      <c r="K446" s="10"/>
      <c r="L446" s="10"/>
      <c r="M446" s="10"/>
      <c r="N446" s="10"/>
      <c r="O446" s="10"/>
      <c r="P446" s="10"/>
      <c r="Q446" s="10"/>
      <c r="R446" s="10"/>
      <c r="S446" s="10"/>
      <c r="T446" s="10"/>
      <c r="U446" s="10"/>
    </row>
    <row r="447" spans="1:21" ht="12.75" x14ac:dyDescent="0.2">
      <c r="A447" s="10"/>
      <c r="B447" s="10"/>
      <c r="C447" s="10"/>
      <c r="D447" s="10"/>
      <c r="E447" s="10"/>
      <c r="F447" s="10"/>
      <c r="G447" s="10"/>
      <c r="H447" s="10"/>
      <c r="I447" s="10"/>
      <c r="J447" s="10"/>
      <c r="K447" s="10"/>
      <c r="L447" s="10"/>
      <c r="M447" s="10"/>
      <c r="N447" s="10"/>
      <c r="O447" s="10"/>
      <c r="P447" s="10"/>
      <c r="Q447" s="10"/>
      <c r="R447" s="10"/>
      <c r="S447" s="10"/>
      <c r="T447" s="10"/>
      <c r="U447" s="10"/>
    </row>
    <row r="448" spans="1:21" ht="12.75" x14ac:dyDescent="0.2">
      <c r="A448" s="10"/>
      <c r="B448" s="10"/>
      <c r="C448" s="10"/>
      <c r="D448" s="10"/>
      <c r="E448" s="10"/>
      <c r="F448" s="10"/>
      <c r="G448" s="10"/>
      <c r="H448" s="10"/>
      <c r="I448" s="10"/>
      <c r="J448" s="10"/>
      <c r="K448" s="10"/>
      <c r="L448" s="10"/>
      <c r="M448" s="10"/>
      <c r="N448" s="10"/>
      <c r="O448" s="10"/>
      <c r="P448" s="10"/>
      <c r="Q448" s="10"/>
      <c r="R448" s="10"/>
      <c r="S448" s="10"/>
      <c r="T448" s="10"/>
      <c r="U448" s="10"/>
    </row>
    <row r="449" spans="1:21" ht="12.75" x14ac:dyDescent="0.2">
      <c r="A449" s="10"/>
      <c r="B449" s="10"/>
      <c r="C449" s="10"/>
      <c r="D449" s="10"/>
      <c r="E449" s="10"/>
      <c r="F449" s="10"/>
      <c r="G449" s="10"/>
      <c r="H449" s="10"/>
      <c r="I449" s="10"/>
      <c r="J449" s="10"/>
      <c r="K449" s="10"/>
      <c r="L449" s="10"/>
      <c r="M449" s="10"/>
      <c r="N449" s="10"/>
      <c r="O449" s="10"/>
      <c r="P449" s="10"/>
      <c r="Q449" s="10"/>
      <c r="R449" s="10"/>
      <c r="S449" s="10"/>
      <c r="T449" s="10"/>
      <c r="U449" s="10"/>
    </row>
    <row r="450" spans="1:21" ht="12.75" x14ac:dyDescent="0.2">
      <c r="A450" s="10"/>
      <c r="B450" s="10"/>
      <c r="C450" s="10"/>
      <c r="D450" s="10"/>
      <c r="E450" s="10"/>
      <c r="F450" s="10"/>
      <c r="G450" s="10"/>
      <c r="H450" s="10"/>
      <c r="I450" s="10"/>
      <c r="J450" s="10"/>
      <c r="K450" s="10"/>
      <c r="L450" s="10"/>
      <c r="M450" s="10"/>
      <c r="N450" s="10"/>
      <c r="O450" s="10"/>
      <c r="P450" s="10"/>
      <c r="Q450" s="10"/>
      <c r="R450" s="10"/>
      <c r="S450" s="10"/>
      <c r="T450" s="10"/>
      <c r="U450" s="10"/>
    </row>
    <row r="451" spans="1:21" ht="12.75" x14ac:dyDescent="0.2">
      <c r="A451" s="10"/>
      <c r="B451" s="10"/>
      <c r="C451" s="10"/>
      <c r="D451" s="10"/>
      <c r="E451" s="10"/>
      <c r="F451" s="10"/>
      <c r="G451" s="10"/>
      <c r="H451" s="10"/>
      <c r="I451" s="10"/>
      <c r="J451" s="10"/>
      <c r="K451" s="10"/>
      <c r="L451" s="10"/>
      <c r="M451" s="10"/>
      <c r="N451" s="10"/>
      <c r="O451" s="10"/>
      <c r="P451" s="10"/>
      <c r="Q451" s="10"/>
      <c r="R451" s="10"/>
      <c r="S451" s="10"/>
      <c r="T451" s="10"/>
      <c r="U451" s="10"/>
    </row>
    <row r="452" spans="1:21" ht="12.75" x14ac:dyDescent="0.2">
      <c r="A452" s="10"/>
      <c r="B452" s="10"/>
      <c r="C452" s="10"/>
      <c r="D452" s="10"/>
      <c r="E452" s="10"/>
      <c r="F452" s="10"/>
      <c r="G452" s="10"/>
      <c r="H452" s="10"/>
      <c r="I452" s="10"/>
      <c r="J452" s="10"/>
      <c r="K452" s="10"/>
      <c r="L452" s="10"/>
      <c r="M452" s="10"/>
      <c r="N452" s="10"/>
      <c r="O452" s="10"/>
      <c r="P452" s="10"/>
      <c r="Q452" s="10"/>
      <c r="R452" s="10"/>
      <c r="S452" s="10"/>
      <c r="T452" s="10"/>
      <c r="U452" s="10"/>
    </row>
    <row r="453" spans="1:21" ht="12.75" x14ac:dyDescent="0.2">
      <c r="A453" s="10"/>
      <c r="B453" s="10"/>
      <c r="C453" s="10"/>
      <c r="D453" s="10"/>
      <c r="E453" s="10"/>
      <c r="F453" s="10"/>
      <c r="G453" s="10"/>
      <c r="H453" s="10"/>
      <c r="I453" s="10"/>
      <c r="J453" s="10"/>
      <c r="K453" s="10"/>
      <c r="L453" s="10"/>
      <c r="M453" s="10"/>
      <c r="N453" s="10"/>
      <c r="O453" s="10"/>
      <c r="P453" s="10"/>
      <c r="Q453" s="10"/>
      <c r="R453" s="10"/>
      <c r="S453" s="10"/>
      <c r="T453" s="10"/>
      <c r="U453" s="10"/>
    </row>
    <row r="454" spans="1:21" ht="12.75" x14ac:dyDescent="0.2">
      <c r="A454" s="10"/>
      <c r="B454" s="10"/>
      <c r="C454" s="10"/>
      <c r="D454" s="10"/>
      <c r="E454" s="10"/>
      <c r="F454" s="10"/>
      <c r="G454" s="10"/>
      <c r="H454" s="10"/>
      <c r="I454" s="10"/>
      <c r="J454" s="10"/>
      <c r="K454" s="10"/>
      <c r="L454" s="10"/>
      <c r="M454" s="10"/>
      <c r="N454" s="10"/>
      <c r="O454" s="10"/>
      <c r="P454" s="10"/>
      <c r="Q454" s="10"/>
      <c r="R454" s="10"/>
      <c r="S454" s="10"/>
      <c r="T454" s="10"/>
      <c r="U454" s="10"/>
    </row>
    <row r="455" spans="1:21" ht="12.75" x14ac:dyDescent="0.2">
      <c r="A455" s="10"/>
      <c r="B455" s="10"/>
      <c r="C455" s="10"/>
      <c r="D455" s="10"/>
      <c r="E455" s="10"/>
      <c r="F455" s="10"/>
      <c r="G455" s="10"/>
      <c r="H455" s="10"/>
      <c r="I455" s="10"/>
      <c r="J455" s="10"/>
      <c r="K455" s="10"/>
      <c r="L455" s="10"/>
      <c r="M455" s="10"/>
      <c r="N455" s="10"/>
      <c r="O455" s="10"/>
      <c r="P455" s="10"/>
      <c r="Q455" s="10"/>
      <c r="R455" s="10"/>
      <c r="S455" s="10"/>
      <c r="T455" s="10"/>
      <c r="U455" s="10"/>
    </row>
    <row r="456" spans="1:21" ht="12.75" x14ac:dyDescent="0.2">
      <c r="A456" s="10"/>
      <c r="B456" s="10"/>
      <c r="C456" s="10"/>
      <c r="D456" s="10"/>
      <c r="E456" s="10"/>
      <c r="F456" s="10"/>
      <c r="G456" s="10"/>
      <c r="H456" s="10"/>
      <c r="I456" s="10"/>
      <c r="J456" s="10"/>
      <c r="K456" s="10"/>
      <c r="L456" s="10"/>
      <c r="M456" s="10"/>
      <c r="N456" s="10"/>
      <c r="O456" s="10"/>
      <c r="P456" s="10"/>
      <c r="Q456" s="10"/>
      <c r="R456" s="10"/>
      <c r="S456" s="10"/>
      <c r="T456" s="10"/>
      <c r="U456" s="10"/>
    </row>
    <row r="457" spans="1:21" ht="12.75" x14ac:dyDescent="0.2">
      <c r="A457" s="10"/>
      <c r="B457" s="10"/>
      <c r="C457" s="10"/>
      <c r="D457" s="10"/>
      <c r="E457" s="10"/>
      <c r="F457" s="10"/>
      <c r="G457" s="10"/>
      <c r="H457" s="10"/>
      <c r="I457" s="10"/>
      <c r="J457" s="10"/>
      <c r="K457" s="10"/>
      <c r="L457" s="10"/>
      <c r="M457" s="10"/>
      <c r="N457" s="10"/>
      <c r="O457" s="10"/>
      <c r="P457" s="10"/>
      <c r="Q457" s="10"/>
      <c r="R457" s="10"/>
      <c r="S457" s="10"/>
      <c r="T457" s="10"/>
      <c r="U457" s="10"/>
    </row>
    <row r="458" spans="1:21" ht="12.75" x14ac:dyDescent="0.2">
      <c r="A458" s="10"/>
      <c r="B458" s="10"/>
      <c r="C458" s="10"/>
      <c r="D458" s="10"/>
      <c r="E458" s="10"/>
      <c r="F458" s="10"/>
      <c r="G458" s="10"/>
      <c r="H458" s="10"/>
      <c r="I458" s="10"/>
      <c r="J458" s="10"/>
      <c r="K458" s="10"/>
      <c r="L458" s="10"/>
      <c r="M458" s="10"/>
      <c r="N458" s="10"/>
      <c r="O458" s="10"/>
      <c r="P458" s="10"/>
      <c r="Q458" s="10"/>
      <c r="R458" s="10"/>
      <c r="S458" s="10"/>
      <c r="T458" s="10"/>
      <c r="U458" s="10"/>
    </row>
    <row r="459" spans="1:21" ht="12.75" x14ac:dyDescent="0.2">
      <c r="A459" s="10"/>
      <c r="B459" s="10"/>
      <c r="C459" s="10"/>
      <c r="D459" s="10"/>
      <c r="E459" s="10"/>
      <c r="F459" s="10"/>
      <c r="G459" s="10"/>
      <c r="H459" s="10"/>
      <c r="I459" s="10"/>
      <c r="J459" s="10"/>
      <c r="K459" s="10"/>
      <c r="L459" s="10"/>
      <c r="M459" s="10"/>
      <c r="N459" s="10"/>
      <c r="O459" s="10"/>
      <c r="P459" s="10"/>
      <c r="Q459" s="10"/>
      <c r="R459" s="10"/>
      <c r="S459" s="10"/>
      <c r="T459" s="10"/>
      <c r="U459" s="10"/>
    </row>
    <row r="460" spans="1:21" ht="12.75" x14ac:dyDescent="0.2">
      <c r="A460" s="10"/>
      <c r="B460" s="10"/>
      <c r="C460" s="10"/>
      <c r="D460" s="10"/>
      <c r="E460" s="10"/>
      <c r="F460" s="10"/>
      <c r="G460" s="10"/>
      <c r="H460" s="10"/>
      <c r="I460" s="10"/>
      <c r="J460" s="10"/>
      <c r="K460" s="10"/>
      <c r="L460" s="10"/>
      <c r="M460" s="10"/>
      <c r="N460" s="10"/>
      <c r="O460" s="10"/>
      <c r="P460" s="10"/>
      <c r="Q460" s="10"/>
      <c r="R460" s="10"/>
      <c r="S460" s="10"/>
      <c r="T460" s="10"/>
      <c r="U460" s="10"/>
    </row>
    <row r="461" spans="1:21" ht="12.75" x14ac:dyDescent="0.2">
      <c r="A461" s="10"/>
      <c r="B461" s="10"/>
      <c r="C461" s="10"/>
      <c r="D461" s="10"/>
      <c r="E461" s="10"/>
      <c r="F461" s="10"/>
      <c r="G461" s="10"/>
      <c r="H461" s="10"/>
      <c r="I461" s="10"/>
      <c r="J461" s="10"/>
      <c r="K461" s="10"/>
      <c r="L461" s="10"/>
      <c r="M461" s="10"/>
      <c r="N461" s="10"/>
      <c r="O461" s="10"/>
      <c r="P461" s="10"/>
      <c r="Q461" s="10"/>
      <c r="R461" s="10"/>
      <c r="S461" s="10"/>
      <c r="T461" s="10"/>
      <c r="U461" s="10"/>
    </row>
    <row r="462" spans="1:21" ht="12.75" x14ac:dyDescent="0.2">
      <c r="A462" s="10"/>
      <c r="B462" s="10"/>
      <c r="C462" s="10"/>
      <c r="D462" s="10"/>
      <c r="E462" s="10"/>
      <c r="F462" s="10"/>
      <c r="G462" s="10"/>
      <c r="H462" s="10"/>
      <c r="I462" s="10"/>
      <c r="J462" s="10"/>
      <c r="K462" s="10"/>
      <c r="L462" s="10"/>
      <c r="M462" s="10"/>
      <c r="N462" s="10"/>
      <c r="O462" s="10"/>
      <c r="P462" s="10"/>
      <c r="Q462" s="10"/>
      <c r="R462" s="10"/>
      <c r="S462" s="10"/>
      <c r="T462" s="10"/>
      <c r="U462" s="10"/>
    </row>
    <row r="463" spans="1:21" ht="12.75" x14ac:dyDescent="0.2">
      <c r="A463" s="10"/>
      <c r="B463" s="10"/>
      <c r="C463" s="10"/>
      <c r="D463" s="10"/>
      <c r="E463" s="10"/>
      <c r="F463" s="10"/>
      <c r="G463" s="10"/>
      <c r="H463" s="10"/>
      <c r="I463" s="10"/>
      <c r="J463" s="10"/>
      <c r="K463" s="10"/>
      <c r="L463" s="10"/>
      <c r="M463" s="10"/>
      <c r="N463" s="10"/>
      <c r="O463" s="10"/>
      <c r="P463" s="10"/>
      <c r="Q463" s="10"/>
      <c r="R463" s="10"/>
      <c r="S463" s="10"/>
      <c r="T463" s="10"/>
      <c r="U463" s="10"/>
    </row>
    <row r="464" spans="1:21" ht="12.75" x14ac:dyDescent="0.2">
      <c r="A464" s="10"/>
      <c r="B464" s="10"/>
      <c r="C464" s="10"/>
      <c r="D464" s="10"/>
      <c r="E464" s="10"/>
      <c r="F464" s="10"/>
      <c r="G464" s="10"/>
      <c r="H464" s="10"/>
      <c r="I464" s="10"/>
      <c r="J464" s="10"/>
      <c r="K464" s="10"/>
      <c r="L464" s="10"/>
      <c r="M464" s="10"/>
      <c r="N464" s="10"/>
      <c r="O464" s="10"/>
      <c r="P464" s="10"/>
      <c r="Q464" s="10"/>
      <c r="R464" s="10"/>
      <c r="S464" s="10"/>
      <c r="T464" s="10"/>
      <c r="U464" s="10"/>
    </row>
    <row r="465" spans="1:21" ht="12.75" x14ac:dyDescent="0.2">
      <c r="A465" s="10"/>
      <c r="B465" s="10"/>
      <c r="C465" s="10"/>
      <c r="D465" s="10"/>
      <c r="E465" s="10"/>
      <c r="F465" s="10"/>
      <c r="G465" s="10"/>
      <c r="H465" s="10"/>
      <c r="I465" s="10"/>
      <c r="J465" s="10"/>
      <c r="K465" s="10"/>
      <c r="L465" s="10"/>
      <c r="M465" s="10"/>
      <c r="N465" s="10"/>
      <c r="O465" s="10"/>
      <c r="P465" s="10"/>
      <c r="Q465" s="10"/>
      <c r="R465" s="10"/>
      <c r="S465" s="10"/>
      <c r="T465" s="10"/>
      <c r="U465" s="10"/>
    </row>
    <row r="466" spans="1:21" ht="12.75" x14ac:dyDescent="0.2">
      <c r="A466" s="10"/>
      <c r="B466" s="10"/>
      <c r="C466" s="10"/>
      <c r="D466" s="10"/>
      <c r="E466" s="10"/>
      <c r="F466" s="10"/>
      <c r="G466" s="10"/>
      <c r="H466" s="10"/>
      <c r="I466" s="10"/>
      <c r="J466" s="10"/>
      <c r="K466" s="10"/>
      <c r="L466" s="10"/>
      <c r="M466" s="10"/>
      <c r="N466" s="10"/>
      <c r="O466" s="10"/>
      <c r="P466" s="10"/>
      <c r="Q466" s="10"/>
      <c r="R466" s="10"/>
      <c r="S466" s="10"/>
      <c r="T466" s="10"/>
      <c r="U466" s="10"/>
    </row>
    <row r="467" spans="1:21" ht="12.75" x14ac:dyDescent="0.2">
      <c r="A467" s="10"/>
      <c r="B467" s="10"/>
      <c r="C467" s="10"/>
      <c r="D467" s="10"/>
      <c r="E467" s="10"/>
      <c r="F467" s="10"/>
      <c r="G467" s="10"/>
      <c r="H467" s="10"/>
      <c r="I467" s="10"/>
      <c r="J467" s="10"/>
      <c r="K467" s="10"/>
      <c r="L467" s="10"/>
      <c r="M467" s="10"/>
      <c r="N467" s="10"/>
      <c r="O467" s="10"/>
      <c r="P467" s="10"/>
      <c r="Q467" s="10"/>
      <c r="R467" s="10"/>
      <c r="S467" s="10"/>
      <c r="T467" s="10"/>
      <c r="U467" s="10"/>
    </row>
    <row r="468" spans="1:21" ht="12.75" x14ac:dyDescent="0.2">
      <c r="A468" s="10"/>
      <c r="B468" s="10"/>
      <c r="C468" s="10"/>
      <c r="D468" s="10"/>
      <c r="E468" s="10"/>
      <c r="F468" s="10"/>
      <c r="G468" s="10"/>
      <c r="H468" s="10"/>
      <c r="I468" s="10"/>
      <c r="J468" s="10"/>
      <c r="K468" s="10"/>
      <c r="L468" s="10"/>
      <c r="M468" s="10"/>
      <c r="N468" s="10"/>
      <c r="O468" s="10"/>
      <c r="P468" s="10"/>
      <c r="Q468" s="10"/>
      <c r="R468" s="10"/>
      <c r="S468" s="10"/>
      <c r="T468" s="10"/>
      <c r="U468" s="10"/>
    </row>
    <row r="469" spans="1:21" ht="12.75" x14ac:dyDescent="0.2">
      <c r="A469" s="10"/>
      <c r="B469" s="10"/>
      <c r="C469" s="10"/>
      <c r="D469" s="10"/>
      <c r="E469" s="10"/>
      <c r="F469" s="10"/>
      <c r="G469" s="10"/>
      <c r="H469" s="10"/>
      <c r="I469" s="10"/>
      <c r="J469" s="10"/>
      <c r="K469" s="10"/>
      <c r="L469" s="10"/>
      <c r="M469" s="10"/>
      <c r="N469" s="10"/>
      <c r="O469" s="10"/>
      <c r="P469" s="10"/>
      <c r="Q469" s="10"/>
      <c r="R469" s="10"/>
      <c r="S469" s="10"/>
      <c r="T469" s="10"/>
      <c r="U469" s="10"/>
    </row>
    <row r="470" spans="1:21" ht="12.75" x14ac:dyDescent="0.2">
      <c r="A470" s="10"/>
      <c r="B470" s="10"/>
      <c r="C470" s="10"/>
      <c r="D470" s="10"/>
      <c r="E470" s="10"/>
      <c r="F470" s="10"/>
      <c r="G470" s="10"/>
      <c r="H470" s="10"/>
      <c r="I470" s="10"/>
      <c r="J470" s="10"/>
      <c r="K470" s="10"/>
      <c r="L470" s="10"/>
      <c r="M470" s="10"/>
      <c r="N470" s="10"/>
      <c r="O470" s="10"/>
      <c r="P470" s="10"/>
      <c r="Q470" s="10"/>
      <c r="R470" s="10"/>
      <c r="S470" s="10"/>
      <c r="T470" s="10"/>
      <c r="U470" s="10"/>
    </row>
    <row r="471" spans="1:21" ht="12.75" x14ac:dyDescent="0.2">
      <c r="A471" s="10"/>
      <c r="B471" s="10"/>
      <c r="C471" s="10"/>
      <c r="D471" s="10"/>
      <c r="E471" s="10"/>
      <c r="F471" s="10"/>
      <c r="G471" s="10"/>
      <c r="H471" s="10"/>
      <c r="I471" s="10"/>
      <c r="J471" s="10"/>
      <c r="K471" s="10"/>
      <c r="L471" s="10"/>
      <c r="M471" s="10"/>
      <c r="N471" s="10"/>
      <c r="O471" s="10"/>
      <c r="P471" s="10"/>
      <c r="Q471" s="10"/>
      <c r="R471" s="10"/>
      <c r="S471" s="10"/>
      <c r="T471" s="10"/>
      <c r="U471" s="10"/>
    </row>
    <row r="472" spans="1:21" ht="12.75" x14ac:dyDescent="0.2">
      <c r="A472" s="10"/>
      <c r="B472" s="10"/>
      <c r="C472" s="10"/>
      <c r="D472" s="10"/>
      <c r="E472" s="10"/>
      <c r="F472" s="10"/>
      <c r="G472" s="10"/>
      <c r="H472" s="10"/>
      <c r="I472" s="10"/>
      <c r="J472" s="10"/>
      <c r="K472" s="10"/>
      <c r="L472" s="10"/>
      <c r="M472" s="10"/>
      <c r="N472" s="10"/>
      <c r="O472" s="10"/>
      <c r="P472" s="10"/>
      <c r="Q472" s="10"/>
      <c r="R472" s="10"/>
      <c r="S472" s="10"/>
      <c r="T472" s="10"/>
      <c r="U472" s="10"/>
    </row>
    <row r="473" spans="1:21" ht="12.75" x14ac:dyDescent="0.2">
      <c r="A473" s="10"/>
      <c r="B473" s="10"/>
      <c r="C473" s="10"/>
      <c r="D473" s="10"/>
      <c r="E473" s="10"/>
      <c r="F473" s="10"/>
      <c r="G473" s="10"/>
      <c r="H473" s="10"/>
      <c r="I473" s="10"/>
      <c r="J473" s="10"/>
      <c r="K473" s="10"/>
      <c r="L473" s="10"/>
      <c r="M473" s="10"/>
      <c r="N473" s="10"/>
      <c r="O473" s="10"/>
      <c r="P473" s="10"/>
      <c r="Q473" s="10"/>
      <c r="R473" s="10"/>
      <c r="S473" s="10"/>
      <c r="T473" s="10"/>
      <c r="U473" s="10"/>
    </row>
    <row r="474" spans="1:21" ht="12.75" x14ac:dyDescent="0.2">
      <c r="A474" s="10"/>
      <c r="B474" s="10"/>
      <c r="C474" s="10"/>
      <c r="D474" s="10"/>
      <c r="E474" s="10"/>
      <c r="F474" s="10"/>
      <c r="G474" s="10"/>
      <c r="H474" s="10"/>
      <c r="I474" s="10"/>
      <c r="J474" s="10"/>
      <c r="K474" s="10"/>
      <c r="L474" s="10"/>
      <c r="M474" s="10"/>
      <c r="N474" s="10"/>
      <c r="O474" s="10"/>
      <c r="P474" s="10"/>
      <c r="Q474" s="10"/>
      <c r="R474" s="10"/>
      <c r="S474" s="10"/>
      <c r="T474" s="10"/>
      <c r="U474" s="10"/>
    </row>
    <row r="475" spans="1:21" ht="12.75" x14ac:dyDescent="0.2">
      <c r="A475" s="10"/>
      <c r="B475" s="10"/>
      <c r="C475" s="10"/>
      <c r="D475" s="10"/>
      <c r="E475" s="10"/>
      <c r="F475" s="10"/>
      <c r="G475" s="10"/>
      <c r="H475" s="10"/>
      <c r="I475" s="10"/>
      <c r="J475" s="10"/>
      <c r="K475" s="10"/>
      <c r="L475" s="10"/>
      <c r="M475" s="10"/>
      <c r="N475" s="10"/>
      <c r="O475" s="10"/>
      <c r="P475" s="10"/>
      <c r="Q475" s="10"/>
      <c r="R475" s="10"/>
      <c r="S475" s="10"/>
      <c r="T475" s="10"/>
      <c r="U475" s="10"/>
    </row>
    <row r="476" spans="1:21" ht="12.75" x14ac:dyDescent="0.2">
      <c r="A476" s="10"/>
      <c r="B476" s="10"/>
      <c r="C476" s="10"/>
      <c r="D476" s="10"/>
      <c r="E476" s="10"/>
      <c r="F476" s="10"/>
      <c r="G476" s="10"/>
      <c r="H476" s="10"/>
      <c r="I476" s="10"/>
      <c r="J476" s="10"/>
      <c r="K476" s="10"/>
      <c r="L476" s="10"/>
      <c r="M476" s="10"/>
      <c r="N476" s="10"/>
      <c r="O476" s="10"/>
      <c r="P476" s="10"/>
      <c r="Q476" s="10"/>
      <c r="R476" s="10"/>
      <c r="S476" s="10"/>
      <c r="T476" s="10"/>
      <c r="U476" s="10"/>
    </row>
    <row r="477" spans="1:21" ht="12.75" x14ac:dyDescent="0.2">
      <c r="A477" s="10"/>
      <c r="B477" s="10"/>
      <c r="C477" s="10"/>
      <c r="D477" s="10"/>
      <c r="E477" s="10"/>
      <c r="F477" s="10"/>
      <c r="G477" s="10"/>
      <c r="H477" s="10"/>
      <c r="I477" s="10"/>
      <c r="J477" s="10"/>
      <c r="K477" s="10"/>
      <c r="L477" s="10"/>
      <c r="M477" s="10"/>
      <c r="N477" s="10"/>
      <c r="O477" s="10"/>
      <c r="P477" s="10"/>
      <c r="Q477" s="10"/>
      <c r="R477" s="10"/>
      <c r="S477" s="10"/>
      <c r="T477" s="10"/>
      <c r="U477" s="10"/>
    </row>
    <row r="478" spans="1:21" ht="12.75" x14ac:dyDescent="0.2">
      <c r="A478" s="10"/>
      <c r="B478" s="10"/>
      <c r="C478" s="10"/>
      <c r="D478" s="10"/>
      <c r="E478" s="10"/>
      <c r="F478" s="10"/>
      <c r="G478" s="10"/>
      <c r="H478" s="10"/>
      <c r="I478" s="10"/>
      <c r="J478" s="10"/>
      <c r="K478" s="10"/>
      <c r="L478" s="10"/>
      <c r="M478" s="10"/>
      <c r="N478" s="10"/>
      <c r="O478" s="10"/>
      <c r="P478" s="10"/>
      <c r="Q478" s="10"/>
      <c r="R478" s="10"/>
      <c r="S478" s="10"/>
      <c r="T478" s="10"/>
      <c r="U478" s="10"/>
    </row>
    <row r="479" spans="1:21" ht="12.75" x14ac:dyDescent="0.2">
      <c r="A479" s="10"/>
      <c r="B479" s="10"/>
      <c r="C479" s="10"/>
      <c r="D479" s="10"/>
      <c r="E479" s="10"/>
      <c r="F479" s="10"/>
      <c r="G479" s="10"/>
      <c r="H479" s="10"/>
      <c r="I479" s="10"/>
      <c r="J479" s="10"/>
      <c r="K479" s="10"/>
      <c r="L479" s="10"/>
      <c r="M479" s="10"/>
      <c r="N479" s="10"/>
      <c r="O479" s="10"/>
      <c r="P479" s="10"/>
      <c r="Q479" s="10"/>
      <c r="R479" s="10"/>
      <c r="S479" s="10"/>
      <c r="T479" s="10"/>
      <c r="U479" s="10"/>
    </row>
    <row r="480" spans="1:21" ht="12.75" x14ac:dyDescent="0.2">
      <c r="A480" s="10"/>
      <c r="B480" s="10"/>
      <c r="C480" s="10"/>
      <c r="D480" s="10"/>
      <c r="E480" s="10"/>
      <c r="F480" s="10"/>
      <c r="G480" s="10"/>
      <c r="H480" s="10"/>
      <c r="I480" s="10"/>
      <c r="J480" s="10"/>
      <c r="K480" s="10"/>
      <c r="L480" s="10"/>
      <c r="M480" s="10"/>
      <c r="N480" s="10"/>
      <c r="O480" s="10"/>
      <c r="P480" s="10"/>
      <c r="Q480" s="10"/>
      <c r="R480" s="10"/>
      <c r="S480" s="10"/>
      <c r="T480" s="10"/>
      <c r="U480" s="10"/>
    </row>
    <row r="481" spans="1:21" ht="12.75" x14ac:dyDescent="0.2">
      <c r="A481" s="10"/>
      <c r="B481" s="10"/>
      <c r="C481" s="10"/>
      <c r="D481" s="10"/>
      <c r="E481" s="10"/>
      <c r="F481" s="10"/>
      <c r="G481" s="10"/>
      <c r="H481" s="10"/>
      <c r="I481" s="10"/>
      <c r="J481" s="10"/>
      <c r="K481" s="10"/>
      <c r="L481" s="10"/>
      <c r="M481" s="10"/>
      <c r="N481" s="10"/>
      <c r="O481" s="10"/>
      <c r="P481" s="10"/>
      <c r="Q481" s="10"/>
      <c r="R481" s="10"/>
      <c r="S481" s="10"/>
      <c r="T481" s="10"/>
      <c r="U481" s="10"/>
    </row>
    <row r="482" spans="1:21" ht="12.75" x14ac:dyDescent="0.2">
      <c r="A482" s="10"/>
      <c r="B482" s="10"/>
      <c r="C482" s="10"/>
      <c r="D482" s="10"/>
      <c r="E482" s="10"/>
      <c r="F482" s="10"/>
      <c r="G482" s="10"/>
      <c r="H482" s="10"/>
      <c r="I482" s="10"/>
      <c r="J482" s="10"/>
      <c r="K482" s="10"/>
      <c r="L482" s="10"/>
      <c r="M482" s="10"/>
      <c r="N482" s="10"/>
      <c r="O482" s="10"/>
      <c r="P482" s="10"/>
      <c r="Q482" s="10"/>
      <c r="R482" s="10"/>
      <c r="S482" s="10"/>
      <c r="T482" s="10"/>
      <c r="U482" s="10"/>
    </row>
    <row r="483" spans="1:21" ht="12.75" x14ac:dyDescent="0.2">
      <c r="A483" s="10"/>
      <c r="B483" s="10"/>
      <c r="C483" s="10"/>
      <c r="D483" s="10"/>
      <c r="E483" s="10"/>
      <c r="F483" s="10"/>
      <c r="G483" s="10"/>
      <c r="H483" s="10"/>
      <c r="I483" s="10"/>
      <c r="J483" s="10"/>
      <c r="K483" s="10"/>
      <c r="L483" s="10"/>
      <c r="M483" s="10"/>
      <c r="N483" s="10"/>
      <c r="O483" s="10"/>
      <c r="P483" s="10"/>
      <c r="Q483" s="10"/>
      <c r="R483" s="10"/>
      <c r="S483" s="10"/>
      <c r="T483" s="10"/>
      <c r="U483" s="10"/>
    </row>
    <row r="484" spans="1:21" ht="12.75" x14ac:dyDescent="0.2">
      <c r="A484" s="10"/>
      <c r="B484" s="10"/>
      <c r="C484" s="10"/>
      <c r="D484" s="10"/>
      <c r="E484" s="10"/>
      <c r="F484" s="10"/>
      <c r="G484" s="10"/>
      <c r="H484" s="10"/>
      <c r="I484" s="10"/>
      <c r="J484" s="10"/>
      <c r="K484" s="10"/>
      <c r="L484" s="10"/>
      <c r="M484" s="10"/>
      <c r="N484" s="10"/>
      <c r="O484" s="10"/>
      <c r="P484" s="10"/>
      <c r="Q484" s="10"/>
      <c r="R484" s="10"/>
      <c r="S484" s="10"/>
      <c r="T484" s="10"/>
      <c r="U484" s="10"/>
    </row>
    <row r="485" spans="1:21" ht="12.75" x14ac:dyDescent="0.2">
      <c r="A485" s="10"/>
      <c r="B485" s="10"/>
      <c r="C485" s="10"/>
      <c r="D485" s="10"/>
      <c r="E485" s="10"/>
      <c r="F485" s="10"/>
      <c r="G485" s="10"/>
      <c r="H485" s="10"/>
      <c r="I485" s="10"/>
      <c r="J485" s="10"/>
      <c r="K485" s="10"/>
      <c r="L485" s="10"/>
      <c r="M485" s="10"/>
      <c r="N485" s="10"/>
      <c r="O485" s="10"/>
      <c r="P485" s="10"/>
      <c r="Q485" s="10"/>
      <c r="R485" s="10"/>
      <c r="S485" s="10"/>
      <c r="T485" s="10"/>
      <c r="U485" s="10"/>
    </row>
    <row r="486" spans="1:21" ht="12.75" x14ac:dyDescent="0.2">
      <c r="A486" s="10"/>
      <c r="B486" s="10"/>
      <c r="C486" s="10"/>
      <c r="D486" s="10"/>
      <c r="E486" s="10"/>
      <c r="F486" s="10"/>
      <c r="G486" s="10"/>
      <c r="H486" s="10"/>
      <c r="I486" s="10"/>
      <c r="J486" s="10"/>
      <c r="K486" s="10"/>
      <c r="L486" s="10"/>
      <c r="M486" s="10"/>
      <c r="N486" s="10"/>
      <c r="O486" s="10"/>
      <c r="P486" s="10"/>
      <c r="Q486" s="10"/>
      <c r="R486" s="10"/>
      <c r="S486" s="10"/>
      <c r="T486" s="10"/>
      <c r="U486" s="10"/>
    </row>
    <row r="487" spans="1:21" ht="12.75" x14ac:dyDescent="0.2">
      <c r="A487" s="10"/>
      <c r="B487" s="10"/>
      <c r="C487" s="10"/>
      <c r="D487" s="10"/>
      <c r="E487" s="10"/>
      <c r="F487" s="10"/>
      <c r="G487" s="10"/>
      <c r="H487" s="10"/>
      <c r="I487" s="10"/>
      <c r="J487" s="10"/>
      <c r="K487" s="10"/>
      <c r="L487" s="10"/>
      <c r="M487" s="10"/>
      <c r="N487" s="10"/>
      <c r="O487" s="10"/>
      <c r="P487" s="10"/>
      <c r="Q487" s="10"/>
      <c r="R487" s="10"/>
      <c r="S487" s="10"/>
      <c r="T487" s="10"/>
      <c r="U487" s="10"/>
    </row>
    <row r="488" spans="1:21" ht="12.75" x14ac:dyDescent="0.2">
      <c r="A488" s="10"/>
      <c r="B488" s="10"/>
      <c r="C488" s="10"/>
      <c r="D488" s="10"/>
      <c r="E488" s="10"/>
      <c r="F488" s="10"/>
      <c r="G488" s="10"/>
      <c r="H488" s="10"/>
      <c r="I488" s="10"/>
      <c r="J488" s="10"/>
      <c r="K488" s="10"/>
      <c r="L488" s="10"/>
      <c r="M488" s="10"/>
      <c r="N488" s="10"/>
      <c r="O488" s="10"/>
      <c r="P488" s="10"/>
      <c r="Q488" s="10"/>
      <c r="R488" s="10"/>
      <c r="S488" s="10"/>
      <c r="T488" s="10"/>
      <c r="U488" s="10"/>
    </row>
    <row r="489" spans="1:21" ht="12.75" x14ac:dyDescent="0.2">
      <c r="A489" s="10"/>
      <c r="B489" s="10"/>
      <c r="C489" s="10"/>
      <c r="D489" s="10"/>
      <c r="E489" s="10"/>
      <c r="F489" s="10"/>
      <c r="G489" s="10"/>
      <c r="H489" s="10"/>
      <c r="I489" s="10"/>
      <c r="J489" s="10"/>
      <c r="K489" s="10"/>
      <c r="L489" s="10"/>
      <c r="M489" s="10"/>
      <c r="N489" s="10"/>
      <c r="O489" s="10"/>
      <c r="P489" s="10"/>
      <c r="Q489" s="10"/>
      <c r="R489" s="10"/>
      <c r="S489" s="10"/>
      <c r="T489" s="10"/>
      <c r="U489" s="10"/>
    </row>
    <row r="490" spans="1:21" ht="12.75" x14ac:dyDescent="0.2">
      <c r="A490" s="10"/>
      <c r="B490" s="10"/>
      <c r="C490" s="10"/>
      <c r="D490" s="10"/>
      <c r="E490" s="10"/>
      <c r="F490" s="10"/>
      <c r="G490" s="10"/>
      <c r="H490" s="10"/>
      <c r="I490" s="10"/>
      <c r="J490" s="10"/>
      <c r="K490" s="10"/>
      <c r="L490" s="10"/>
      <c r="M490" s="10"/>
      <c r="N490" s="10"/>
      <c r="O490" s="10"/>
      <c r="P490" s="10"/>
      <c r="Q490" s="10"/>
      <c r="R490" s="10"/>
      <c r="S490" s="10"/>
      <c r="T490" s="10"/>
      <c r="U490" s="10"/>
    </row>
    <row r="491" spans="1:21" ht="12.75" x14ac:dyDescent="0.2">
      <c r="A491" s="10"/>
      <c r="B491" s="10"/>
      <c r="C491" s="10"/>
      <c r="D491" s="10"/>
      <c r="E491" s="10"/>
      <c r="F491" s="10"/>
      <c r="G491" s="10"/>
      <c r="H491" s="10"/>
      <c r="I491" s="10"/>
      <c r="J491" s="10"/>
      <c r="K491" s="10"/>
      <c r="L491" s="10"/>
      <c r="M491" s="10"/>
      <c r="N491" s="10"/>
      <c r="O491" s="10"/>
      <c r="P491" s="10"/>
      <c r="Q491" s="10"/>
      <c r="R491" s="10"/>
      <c r="S491" s="10"/>
      <c r="T491" s="10"/>
      <c r="U491" s="10"/>
    </row>
    <row r="492" spans="1:21" ht="12.75" x14ac:dyDescent="0.2">
      <c r="A492" s="10"/>
      <c r="B492" s="10"/>
      <c r="C492" s="10"/>
      <c r="D492" s="10"/>
      <c r="E492" s="10"/>
      <c r="F492" s="10"/>
      <c r="G492" s="10"/>
      <c r="H492" s="10"/>
      <c r="I492" s="10"/>
      <c r="J492" s="10"/>
      <c r="K492" s="10"/>
      <c r="L492" s="10"/>
      <c r="M492" s="10"/>
      <c r="N492" s="10"/>
      <c r="O492" s="10"/>
      <c r="P492" s="10"/>
      <c r="Q492" s="10"/>
      <c r="R492" s="10"/>
      <c r="S492" s="10"/>
      <c r="T492" s="10"/>
      <c r="U492" s="10"/>
    </row>
    <row r="493" spans="1:21" ht="12.75" x14ac:dyDescent="0.2">
      <c r="A493" s="10"/>
      <c r="B493" s="10"/>
      <c r="C493" s="10"/>
      <c r="D493" s="10"/>
      <c r="E493" s="10"/>
      <c r="F493" s="10"/>
      <c r="G493" s="10"/>
      <c r="H493" s="10"/>
      <c r="I493" s="10"/>
      <c r="J493" s="10"/>
      <c r="K493" s="10"/>
      <c r="L493" s="10"/>
      <c r="M493" s="10"/>
      <c r="N493" s="10"/>
      <c r="O493" s="10"/>
      <c r="P493" s="10"/>
      <c r="Q493" s="10"/>
      <c r="R493" s="10"/>
      <c r="S493" s="10"/>
      <c r="T493" s="10"/>
      <c r="U493" s="10"/>
    </row>
    <row r="494" spans="1:21" ht="12.75" x14ac:dyDescent="0.2">
      <c r="A494" s="10"/>
      <c r="B494" s="10"/>
      <c r="C494" s="10"/>
      <c r="D494" s="10"/>
      <c r="E494" s="10"/>
      <c r="F494" s="10"/>
      <c r="G494" s="10"/>
      <c r="H494" s="10"/>
      <c r="I494" s="10"/>
      <c r="J494" s="10"/>
      <c r="K494" s="10"/>
      <c r="L494" s="10"/>
      <c r="M494" s="10"/>
      <c r="N494" s="10"/>
      <c r="O494" s="10"/>
      <c r="P494" s="10"/>
      <c r="Q494" s="10"/>
      <c r="R494" s="10"/>
      <c r="S494" s="10"/>
      <c r="T494" s="10"/>
      <c r="U494" s="10"/>
    </row>
    <row r="495" spans="1:21" ht="12.75" x14ac:dyDescent="0.2">
      <c r="A495" s="10"/>
      <c r="B495" s="10"/>
      <c r="C495" s="10"/>
      <c r="D495" s="10"/>
      <c r="E495" s="10"/>
      <c r="F495" s="10"/>
      <c r="G495" s="10"/>
      <c r="H495" s="10"/>
      <c r="I495" s="10"/>
      <c r="J495" s="10"/>
      <c r="K495" s="10"/>
      <c r="L495" s="10"/>
      <c r="M495" s="10"/>
      <c r="N495" s="10"/>
      <c r="O495" s="10"/>
      <c r="P495" s="10"/>
      <c r="Q495" s="10"/>
      <c r="R495" s="10"/>
      <c r="S495" s="10"/>
      <c r="T495" s="10"/>
      <c r="U495" s="10"/>
    </row>
    <row r="496" spans="1:21" ht="12.75" x14ac:dyDescent="0.2">
      <c r="A496" s="10"/>
      <c r="B496" s="10"/>
      <c r="C496" s="10"/>
      <c r="D496" s="10"/>
      <c r="E496" s="10"/>
      <c r="F496" s="10"/>
      <c r="G496" s="10"/>
      <c r="H496" s="10"/>
      <c r="I496" s="10"/>
      <c r="J496" s="10"/>
      <c r="K496" s="10"/>
      <c r="L496" s="10"/>
      <c r="M496" s="10"/>
      <c r="N496" s="10"/>
      <c r="O496" s="10"/>
      <c r="P496" s="10"/>
      <c r="Q496" s="10"/>
      <c r="R496" s="10"/>
      <c r="S496" s="10"/>
      <c r="T496" s="10"/>
      <c r="U496" s="10"/>
    </row>
    <row r="497" spans="1:21" ht="12.75" x14ac:dyDescent="0.2">
      <c r="A497" s="10"/>
      <c r="B497" s="10"/>
      <c r="C497" s="10"/>
      <c r="D497" s="10"/>
      <c r="E497" s="10"/>
      <c r="F497" s="10"/>
      <c r="G497" s="10"/>
      <c r="H497" s="10"/>
      <c r="I497" s="10"/>
      <c r="J497" s="10"/>
      <c r="K497" s="10"/>
      <c r="L497" s="10"/>
      <c r="M497" s="10"/>
      <c r="N497" s="10"/>
      <c r="O497" s="10"/>
      <c r="P497" s="10"/>
      <c r="Q497" s="10"/>
      <c r="R497" s="10"/>
      <c r="S497" s="10"/>
      <c r="T497" s="10"/>
      <c r="U497" s="10"/>
    </row>
    <row r="498" spans="1:21" ht="12.75" x14ac:dyDescent="0.2">
      <c r="A498" s="10"/>
      <c r="B498" s="10"/>
      <c r="C498" s="10"/>
      <c r="D498" s="10"/>
      <c r="E498" s="10"/>
      <c r="F498" s="10"/>
      <c r="G498" s="10"/>
      <c r="H498" s="10"/>
      <c r="I498" s="10"/>
      <c r="J498" s="10"/>
      <c r="K498" s="10"/>
      <c r="L498" s="10"/>
      <c r="M498" s="10"/>
      <c r="N498" s="10"/>
      <c r="O498" s="10"/>
      <c r="P498" s="10"/>
      <c r="Q498" s="10"/>
      <c r="R498" s="10"/>
      <c r="S498" s="10"/>
      <c r="T498" s="10"/>
      <c r="U498" s="10"/>
    </row>
    <row r="499" spans="1:21" ht="12.75" x14ac:dyDescent="0.2">
      <c r="A499" s="10"/>
      <c r="B499" s="10"/>
      <c r="C499" s="10"/>
      <c r="D499" s="10"/>
      <c r="E499" s="10"/>
      <c r="F499" s="10"/>
      <c r="G499" s="10"/>
      <c r="H499" s="10"/>
      <c r="I499" s="10"/>
      <c r="J499" s="10"/>
      <c r="K499" s="10"/>
      <c r="L499" s="10"/>
      <c r="M499" s="10"/>
      <c r="N499" s="10"/>
      <c r="O499" s="10"/>
      <c r="P499" s="10"/>
      <c r="Q499" s="10"/>
      <c r="R499" s="10"/>
      <c r="S499" s="10"/>
      <c r="T499" s="10"/>
      <c r="U499" s="10"/>
    </row>
    <row r="500" spans="1:21" ht="12.75" x14ac:dyDescent="0.2">
      <c r="A500" s="10"/>
      <c r="B500" s="10"/>
      <c r="C500" s="10"/>
      <c r="D500" s="10"/>
      <c r="E500" s="10"/>
      <c r="F500" s="10"/>
      <c r="G500" s="10"/>
      <c r="H500" s="10"/>
      <c r="I500" s="10"/>
      <c r="J500" s="10"/>
      <c r="K500" s="10"/>
      <c r="L500" s="10"/>
      <c r="M500" s="10"/>
      <c r="N500" s="10"/>
      <c r="O500" s="10"/>
      <c r="P500" s="10"/>
      <c r="Q500" s="10"/>
      <c r="R500" s="10"/>
      <c r="S500" s="10"/>
      <c r="T500" s="10"/>
      <c r="U500" s="10"/>
    </row>
    <row r="501" spans="1:21" ht="12.75" x14ac:dyDescent="0.2">
      <c r="A501" s="10"/>
      <c r="B501" s="10"/>
      <c r="C501" s="10"/>
      <c r="D501" s="10"/>
      <c r="E501" s="10"/>
      <c r="F501" s="10"/>
      <c r="G501" s="10"/>
      <c r="H501" s="10"/>
      <c r="I501" s="10"/>
      <c r="J501" s="10"/>
      <c r="K501" s="10"/>
      <c r="L501" s="10"/>
      <c r="M501" s="10"/>
      <c r="N501" s="10"/>
      <c r="O501" s="10"/>
      <c r="P501" s="10"/>
      <c r="Q501" s="10"/>
      <c r="R501" s="10"/>
      <c r="S501" s="10"/>
      <c r="T501" s="10"/>
      <c r="U501" s="10"/>
    </row>
    <row r="502" spans="1:21" ht="12.75" x14ac:dyDescent="0.2">
      <c r="A502" s="10"/>
      <c r="B502" s="10"/>
      <c r="C502" s="10"/>
      <c r="D502" s="10"/>
      <c r="E502" s="10"/>
      <c r="F502" s="10"/>
      <c r="G502" s="10"/>
      <c r="H502" s="10"/>
      <c r="I502" s="10"/>
      <c r="J502" s="10"/>
      <c r="K502" s="10"/>
      <c r="L502" s="10"/>
      <c r="M502" s="10"/>
      <c r="N502" s="10"/>
      <c r="O502" s="10"/>
      <c r="P502" s="10"/>
      <c r="Q502" s="10"/>
      <c r="R502" s="10"/>
      <c r="S502" s="10"/>
      <c r="T502" s="10"/>
      <c r="U502" s="10"/>
    </row>
    <row r="503" spans="1:21" ht="12.75" x14ac:dyDescent="0.2">
      <c r="A503" s="10"/>
      <c r="B503" s="10"/>
      <c r="C503" s="10"/>
      <c r="D503" s="10"/>
      <c r="E503" s="10"/>
      <c r="F503" s="10"/>
      <c r="G503" s="10"/>
      <c r="H503" s="10"/>
      <c r="I503" s="10"/>
      <c r="J503" s="10"/>
      <c r="K503" s="10"/>
      <c r="L503" s="10"/>
      <c r="M503" s="10"/>
      <c r="N503" s="10"/>
      <c r="O503" s="10"/>
      <c r="P503" s="10"/>
      <c r="Q503" s="10"/>
      <c r="R503" s="10"/>
      <c r="S503" s="10"/>
      <c r="T503" s="10"/>
      <c r="U503" s="10"/>
    </row>
    <row r="504" spans="1:21" ht="12.75" x14ac:dyDescent="0.2">
      <c r="A504" s="10"/>
      <c r="B504" s="10"/>
      <c r="C504" s="10"/>
      <c r="D504" s="10"/>
      <c r="E504" s="10"/>
      <c r="F504" s="10"/>
      <c r="G504" s="10"/>
      <c r="H504" s="10"/>
      <c r="I504" s="10"/>
      <c r="J504" s="10"/>
      <c r="K504" s="10"/>
      <c r="L504" s="10"/>
      <c r="M504" s="10"/>
      <c r="N504" s="10"/>
      <c r="O504" s="10"/>
      <c r="P504" s="10"/>
      <c r="Q504" s="10"/>
      <c r="R504" s="10"/>
      <c r="S504" s="10"/>
      <c r="T504" s="10"/>
      <c r="U504" s="10"/>
    </row>
    <row r="505" spans="1:21" ht="12.75" x14ac:dyDescent="0.2">
      <c r="A505" s="10"/>
      <c r="B505" s="10"/>
      <c r="C505" s="10"/>
      <c r="D505" s="10"/>
      <c r="E505" s="10"/>
      <c r="F505" s="10"/>
      <c r="G505" s="10"/>
      <c r="H505" s="10"/>
      <c r="I505" s="10"/>
      <c r="J505" s="10"/>
      <c r="K505" s="10"/>
      <c r="L505" s="10"/>
      <c r="M505" s="10"/>
      <c r="N505" s="10"/>
      <c r="O505" s="10"/>
      <c r="P505" s="10"/>
      <c r="Q505" s="10"/>
      <c r="R505" s="10"/>
      <c r="S505" s="10"/>
      <c r="T505" s="10"/>
      <c r="U505" s="10"/>
    </row>
    <row r="506" spans="1:21" ht="12.75" x14ac:dyDescent="0.2">
      <c r="A506" s="10"/>
      <c r="B506" s="10"/>
      <c r="C506" s="10"/>
      <c r="D506" s="10"/>
      <c r="E506" s="10"/>
      <c r="F506" s="10"/>
      <c r="G506" s="10"/>
      <c r="H506" s="10"/>
      <c r="I506" s="10"/>
      <c r="J506" s="10"/>
      <c r="K506" s="10"/>
      <c r="L506" s="10"/>
      <c r="M506" s="10"/>
      <c r="N506" s="10"/>
      <c r="O506" s="10"/>
      <c r="P506" s="10"/>
      <c r="Q506" s="10"/>
      <c r="R506" s="10"/>
      <c r="S506" s="10"/>
      <c r="T506" s="10"/>
      <c r="U506" s="10"/>
    </row>
    <row r="507" spans="1:21" ht="12.75" x14ac:dyDescent="0.2">
      <c r="A507" s="10"/>
      <c r="B507" s="10"/>
      <c r="C507" s="10"/>
      <c r="D507" s="10"/>
      <c r="E507" s="10"/>
      <c r="F507" s="10"/>
      <c r="G507" s="10"/>
      <c r="H507" s="10"/>
      <c r="I507" s="10"/>
      <c r="J507" s="10"/>
      <c r="K507" s="10"/>
      <c r="L507" s="10"/>
      <c r="M507" s="10"/>
      <c r="N507" s="10"/>
      <c r="O507" s="10"/>
      <c r="P507" s="10"/>
      <c r="Q507" s="10"/>
      <c r="R507" s="10"/>
      <c r="S507" s="10"/>
      <c r="T507" s="10"/>
      <c r="U507" s="10"/>
    </row>
    <row r="508" spans="1:21" ht="12.75" x14ac:dyDescent="0.2">
      <c r="A508" s="10"/>
      <c r="B508" s="10"/>
      <c r="C508" s="10"/>
      <c r="D508" s="10"/>
      <c r="E508" s="10"/>
      <c r="F508" s="10"/>
      <c r="G508" s="10"/>
      <c r="H508" s="10"/>
      <c r="I508" s="10"/>
      <c r="J508" s="10"/>
      <c r="K508" s="10"/>
      <c r="L508" s="10"/>
      <c r="M508" s="10"/>
      <c r="N508" s="10"/>
      <c r="O508" s="10"/>
      <c r="P508" s="10"/>
      <c r="Q508" s="10"/>
      <c r="R508" s="10"/>
      <c r="S508" s="10"/>
      <c r="T508" s="10"/>
      <c r="U508" s="10"/>
    </row>
    <row r="509" spans="1:21" ht="12.75" x14ac:dyDescent="0.2">
      <c r="A509" s="10"/>
      <c r="B509" s="10"/>
      <c r="C509" s="10"/>
      <c r="D509" s="10"/>
      <c r="E509" s="10"/>
      <c r="F509" s="10"/>
      <c r="G509" s="10"/>
      <c r="H509" s="10"/>
      <c r="I509" s="10"/>
      <c r="J509" s="10"/>
      <c r="K509" s="10"/>
      <c r="L509" s="10"/>
      <c r="M509" s="10"/>
      <c r="N509" s="10"/>
      <c r="O509" s="10"/>
      <c r="P509" s="10"/>
      <c r="Q509" s="10"/>
      <c r="R509" s="10"/>
      <c r="S509" s="10"/>
      <c r="T509" s="10"/>
      <c r="U509" s="10"/>
    </row>
    <row r="510" spans="1:21" ht="12.75" x14ac:dyDescent="0.2">
      <c r="A510" s="10"/>
      <c r="B510" s="10"/>
      <c r="C510" s="10"/>
      <c r="D510" s="10"/>
      <c r="E510" s="10"/>
      <c r="F510" s="10"/>
      <c r="G510" s="10"/>
      <c r="H510" s="10"/>
      <c r="I510" s="10"/>
      <c r="J510" s="10"/>
      <c r="K510" s="10"/>
      <c r="L510" s="10"/>
      <c r="M510" s="10"/>
      <c r="N510" s="10"/>
      <c r="O510" s="10"/>
      <c r="P510" s="10"/>
      <c r="Q510" s="10"/>
      <c r="R510" s="10"/>
      <c r="S510" s="10"/>
      <c r="T510" s="10"/>
      <c r="U510" s="10"/>
    </row>
    <row r="511" spans="1:21" ht="12.75" x14ac:dyDescent="0.2">
      <c r="A511" s="10"/>
      <c r="B511" s="10"/>
      <c r="C511" s="10"/>
      <c r="D511" s="10"/>
      <c r="E511" s="10"/>
      <c r="F511" s="10"/>
      <c r="G511" s="10"/>
      <c r="H511" s="10"/>
      <c r="I511" s="10"/>
      <c r="J511" s="10"/>
      <c r="K511" s="10"/>
      <c r="L511" s="10"/>
      <c r="M511" s="10"/>
      <c r="N511" s="10"/>
      <c r="O511" s="10"/>
      <c r="P511" s="10"/>
      <c r="Q511" s="10"/>
      <c r="R511" s="10"/>
      <c r="S511" s="10"/>
      <c r="T511" s="10"/>
      <c r="U511" s="10"/>
    </row>
    <row r="512" spans="1:21" ht="12.75" x14ac:dyDescent="0.2">
      <c r="A512" s="10"/>
      <c r="B512" s="10"/>
      <c r="C512" s="10"/>
      <c r="D512" s="10"/>
      <c r="E512" s="10"/>
      <c r="F512" s="10"/>
      <c r="G512" s="10"/>
      <c r="H512" s="10"/>
      <c r="I512" s="10"/>
      <c r="J512" s="10"/>
      <c r="K512" s="10"/>
      <c r="L512" s="10"/>
      <c r="M512" s="10"/>
      <c r="N512" s="10"/>
      <c r="O512" s="10"/>
      <c r="P512" s="10"/>
      <c r="Q512" s="10"/>
      <c r="R512" s="10"/>
      <c r="S512" s="10"/>
      <c r="T512" s="10"/>
      <c r="U512" s="10"/>
    </row>
    <row r="513" spans="1:21" ht="12.75" x14ac:dyDescent="0.2">
      <c r="A513" s="10"/>
      <c r="B513" s="10"/>
      <c r="C513" s="10"/>
      <c r="D513" s="10"/>
      <c r="E513" s="10"/>
      <c r="F513" s="10"/>
      <c r="G513" s="10"/>
      <c r="H513" s="10"/>
      <c r="I513" s="10"/>
      <c r="J513" s="10"/>
      <c r="K513" s="10"/>
      <c r="L513" s="10"/>
      <c r="M513" s="10"/>
      <c r="N513" s="10"/>
      <c r="O513" s="10"/>
      <c r="P513" s="10"/>
      <c r="Q513" s="10"/>
      <c r="R513" s="10"/>
      <c r="S513" s="10"/>
      <c r="T513" s="10"/>
      <c r="U513" s="10"/>
    </row>
    <row r="514" spans="1:21" ht="12.75" x14ac:dyDescent="0.2">
      <c r="A514" s="10"/>
      <c r="B514" s="10"/>
      <c r="C514" s="10"/>
      <c r="D514" s="10"/>
      <c r="E514" s="10"/>
      <c r="F514" s="10"/>
      <c r="G514" s="10"/>
      <c r="H514" s="10"/>
      <c r="I514" s="10"/>
      <c r="J514" s="10"/>
      <c r="K514" s="10"/>
      <c r="L514" s="10"/>
      <c r="M514" s="10"/>
      <c r="N514" s="10"/>
      <c r="O514" s="10"/>
      <c r="P514" s="10"/>
      <c r="Q514" s="10"/>
      <c r="R514" s="10"/>
      <c r="S514" s="10"/>
      <c r="T514" s="10"/>
      <c r="U514" s="10"/>
    </row>
    <row r="515" spans="1:21" ht="12.75" x14ac:dyDescent="0.2">
      <c r="A515" s="10"/>
      <c r="B515" s="10"/>
      <c r="C515" s="10"/>
      <c r="D515" s="10"/>
      <c r="E515" s="10"/>
      <c r="F515" s="10"/>
      <c r="G515" s="10"/>
      <c r="H515" s="10"/>
      <c r="I515" s="10"/>
      <c r="J515" s="10"/>
      <c r="K515" s="10"/>
      <c r="L515" s="10"/>
      <c r="M515" s="10"/>
      <c r="N515" s="10"/>
      <c r="O515" s="10"/>
      <c r="P515" s="10"/>
      <c r="Q515" s="10"/>
      <c r="R515" s="10"/>
      <c r="S515" s="10"/>
      <c r="T515" s="10"/>
      <c r="U515" s="10"/>
    </row>
    <row r="516" spans="1:21" ht="12.75" x14ac:dyDescent="0.2">
      <c r="A516" s="10"/>
      <c r="B516" s="10"/>
      <c r="C516" s="10"/>
      <c r="D516" s="10"/>
      <c r="E516" s="10"/>
      <c r="F516" s="10"/>
      <c r="G516" s="10"/>
      <c r="H516" s="10"/>
      <c r="I516" s="10"/>
      <c r="J516" s="10"/>
      <c r="K516" s="10"/>
      <c r="L516" s="10"/>
      <c r="M516" s="10"/>
      <c r="N516" s="10"/>
      <c r="O516" s="10"/>
      <c r="P516" s="10"/>
      <c r="Q516" s="10"/>
      <c r="R516" s="10"/>
      <c r="S516" s="10"/>
      <c r="T516" s="10"/>
      <c r="U516" s="10"/>
    </row>
    <row r="517" spans="1:21" ht="12.75" x14ac:dyDescent="0.2">
      <c r="A517" s="10"/>
      <c r="B517" s="10"/>
      <c r="C517" s="10"/>
      <c r="D517" s="10"/>
      <c r="E517" s="10"/>
      <c r="F517" s="10"/>
      <c r="G517" s="10"/>
      <c r="H517" s="10"/>
      <c r="I517" s="10"/>
      <c r="J517" s="10"/>
      <c r="K517" s="10"/>
      <c r="L517" s="10"/>
      <c r="M517" s="10"/>
      <c r="N517" s="10"/>
      <c r="O517" s="10"/>
      <c r="P517" s="10"/>
      <c r="Q517" s="10"/>
      <c r="R517" s="10"/>
      <c r="S517" s="10"/>
      <c r="T517" s="10"/>
      <c r="U517" s="10"/>
    </row>
    <row r="518" spans="1:21" ht="12.75" x14ac:dyDescent="0.2">
      <c r="A518" s="10"/>
      <c r="B518" s="10"/>
      <c r="C518" s="10"/>
      <c r="D518" s="10"/>
      <c r="E518" s="10"/>
      <c r="F518" s="10"/>
      <c r="G518" s="10"/>
      <c r="H518" s="10"/>
      <c r="I518" s="10"/>
      <c r="J518" s="10"/>
      <c r="K518" s="10"/>
      <c r="L518" s="10"/>
      <c r="M518" s="10"/>
      <c r="N518" s="10"/>
      <c r="O518" s="10"/>
      <c r="P518" s="10"/>
      <c r="Q518" s="10"/>
      <c r="R518" s="10"/>
      <c r="S518" s="10"/>
      <c r="T518" s="10"/>
      <c r="U518" s="10"/>
    </row>
    <row r="519" spans="1:21" ht="12.75" x14ac:dyDescent="0.2">
      <c r="A519" s="10"/>
      <c r="B519" s="10"/>
      <c r="C519" s="10"/>
      <c r="D519" s="10"/>
      <c r="E519" s="10"/>
      <c r="F519" s="10"/>
      <c r="G519" s="10"/>
      <c r="H519" s="10"/>
      <c r="I519" s="10"/>
      <c r="J519" s="10"/>
      <c r="K519" s="10"/>
      <c r="L519" s="10"/>
      <c r="M519" s="10"/>
      <c r="N519" s="10"/>
      <c r="O519" s="10"/>
      <c r="P519" s="10"/>
      <c r="Q519" s="10"/>
      <c r="R519" s="10"/>
      <c r="S519" s="10"/>
      <c r="T519" s="10"/>
      <c r="U519" s="10"/>
    </row>
    <row r="520" spans="1:21" ht="12.75" x14ac:dyDescent="0.2">
      <c r="A520" s="10"/>
      <c r="B520" s="10"/>
      <c r="C520" s="10"/>
      <c r="D520" s="10"/>
      <c r="E520" s="10"/>
      <c r="F520" s="10"/>
      <c r="G520" s="10"/>
      <c r="H520" s="10"/>
      <c r="I520" s="10"/>
      <c r="J520" s="10"/>
      <c r="K520" s="10"/>
      <c r="L520" s="10"/>
      <c r="M520" s="10"/>
      <c r="N520" s="10"/>
      <c r="O520" s="10"/>
      <c r="P520" s="10"/>
      <c r="Q520" s="10"/>
      <c r="R520" s="10"/>
      <c r="S520" s="10"/>
      <c r="T520" s="10"/>
      <c r="U520" s="10"/>
    </row>
    <row r="521" spans="1:21" ht="12.75" x14ac:dyDescent="0.2">
      <c r="A521" s="10"/>
      <c r="B521" s="10"/>
      <c r="C521" s="10"/>
      <c r="D521" s="10"/>
      <c r="E521" s="10"/>
      <c r="F521" s="10"/>
      <c r="G521" s="10"/>
      <c r="H521" s="10"/>
      <c r="I521" s="10"/>
      <c r="J521" s="10"/>
      <c r="K521" s="10"/>
      <c r="L521" s="10"/>
      <c r="M521" s="10"/>
      <c r="N521" s="10"/>
      <c r="O521" s="10"/>
      <c r="P521" s="10"/>
      <c r="Q521" s="10"/>
      <c r="R521" s="10"/>
      <c r="S521" s="10"/>
      <c r="T521" s="10"/>
      <c r="U521" s="10"/>
    </row>
    <row r="522" spans="1:21" ht="12.75" x14ac:dyDescent="0.2">
      <c r="A522" s="10"/>
      <c r="B522" s="10"/>
      <c r="C522" s="10"/>
      <c r="D522" s="10"/>
      <c r="E522" s="10"/>
      <c r="F522" s="10"/>
      <c r="G522" s="10"/>
      <c r="H522" s="10"/>
      <c r="I522" s="10"/>
      <c r="J522" s="10"/>
      <c r="K522" s="10"/>
      <c r="L522" s="10"/>
      <c r="M522" s="10"/>
      <c r="N522" s="10"/>
      <c r="O522" s="10"/>
      <c r="P522" s="10"/>
      <c r="Q522" s="10"/>
      <c r="R522" s="10"/>
      <c r="S522" s="10"/>
      <c r="T522" s="10"/>
      <c r="U522" s="10"/>
    </row>
    <row r="523" spans="1:21" ht="12.75" x14ac:dyDescent="0.2">
      <c r="A523" s="10"/>
      <c r="B523" s="10"/>
      <c r="C523" s="10"/>
      <c r="D523" s="10"/>
      <c r="E523" s="10"/>
      <c r="F523" s="10"/>
      <c r="G523" s="10"/>
      <c r="H523" s="10"/>
      <c r="I523" s="10"/>
      <c r="J523" s="10"/>
      <c r="K523" s="10"/>
      <c r="L523" s="10"/>
      <c r="M523" s="10"/>
      <c r="N523" s="10"/>
      <c r="O523" s="10"/>
      <c r="P523" s="10"/>
      <c r="Q523" s="10"/>
      <c r="R523" s="10"/>
      <c r="S523" s="10"/>
      <c r="T523" s="10"/>
      <c r="U523" s="10"/>
    </row>
    <row r="524" spans="1:21" ht="12.75" x14ac:dyDescent="0.2">
      <c r="A524" s="10"/>
      <c r="B524" s="10"/>
      <c r="C524" s="10"/>
      <c r="D524" s="10"/>
      <c r="E524" s="10"/>
      <c r="F524" s="10"/>
      <c r="G524" s="10"/>
      <c r="H524" s="10"/>
      <c r="I524" s="10"/>
      <c r="J524" s="10"/>
      <c r="K524" s="10"/>
      <c r="L524" s="10"/>
      <c r="M524" s="10"/>
      <c r="N524" s="10"/>
      <c r="O524" s="10"/>
      <c r="P524" s="10"/>
      <c r="Q524" s="10"/>
      <c r="R524" s="10"/>
      <c r="S524" s="10"/>
      <c r="T524" s="10"/>
      <c r="U524" s="10"/>
    </row>
    <row r="525" spans="1:21" ht="12.75" x14ac:dyDescent="0.2">
      <c r="A525" s="10"/>
      <c r="B525" s="10"/>
      <c r="C525" s="10"/>
      <c r="D525" s="10"/>
      <c r="E525" s="10"/>
      <c r="F525" s="10"/>
      <c r="G525" s="10"/>
      <c r="H525" s="10"/>
      <c r="I525" s="10"/>
      <c r="J525" s="10"/>
      <c r="K525" s="10"/>
      <c r="L525" s="10"/>
      <c r="M525" s="10"/>
      <c r="N525" s="10"/>
      <c r="O525" s="10"/>
      <c r="P525" s="10"/>
      <c r="Q525" s="10"/>
      <c r="R525" s="10"/>
      <c r="S525" s="10"/>
      <c r="T525" s="10"/>
      <c r="U525" s="10"/>
    </row>
    <row r="526" spans="1:21" ht="12.75" x14ac:dyDescent="0.2">
      <c r="A526" s="10"/>
      <c r="B526" s="10"/>
      <c r="C526" s="10"/>
      <c r="D526" s="10"/>
      <c r="E526" s="10"/>
      <c r="F526" s="10"/>
      <c r="G526" s="10"/>
      <c r="H526" s="10"/>
      <c r="I526" s="10"/>
      <c r="J526" s="10"/>
      <c r="K526" s="10"/>
      <c r="L526" s="10"/>
      <c r="M526" s="10"/>
      <c r="N526" s="10"/>
      <c r="O526" s="10"/>
      <c r="P526" s="10"/>
      <c r="Q526" s="10"/>
      <c r="R526" s="10"/>
      <c r="S526" s="10"/>
      <c r="T526" s="10"/>
      <c r="U526" s="10"/>
    </row>
    <row r="527" spans="1:21" ht="12.75" x14ac:dyDescent="0.2">
      <c r="A527" s="10"/>
      <c r="B527" s="10"/>
      <c r="C527" s="10"/>
      <c r="D527" s="10"/>
      <c r="E527" s="10"/>
      <c r="F527" s="10"/>
      <c r="G527" s="10"/>
      <c r="H527" s="10"/>
      <c r="I527" s="10"/>
      <c r="J527" s="10"/>
      <c r="K527" s="10"/>
      <c r="L527" s="10"/>
      <c r="M527" s="10"/>
      <c r="N527" s="10"/>
      <c r="O527" s="10"/>
      <c r="P527" s="10"/>
      <c r="Q527" s="10"/>
      <c r="R527" s="10"/>
      <c r="S527" s="10"/>
      <c r="T527" s="10"/>
      <c r="U527" s="10"/>
    </row>
    <row r="528" spans="1:21" ht="12.75" x14ac:dyDescent="0.2">
      <c r="A528" s="10"/>
      <c r="B528" s="10"/>
      <c r="C528" s="10"/>
      <c r="D528" s="10"/>
      <c r="E528" s="10"/>
      <c r="F528" s="10"/>
      <c r="G528" s="10"/>
      <c r="H528" s="10"/>
      <c r="I528" s="10"/>
      <c r="J528" s="10"/>
      <c r="K528" s="10"/>
      <c r="L528" s="10"/>
      <c r="M528" s="10"/>
      <c r="N528" s="10"/>
      <c r="O528" s="10"/>
      <c r="P528" s="10"/>
      <c r="Q528" s="10"/>
      <c r="R528" s="10"/>
      <c r="S528" s="10"/>
      <c r="T528" s="10"/>
      <c r="U528" s="10"/>
    </row>
    <row r="529" spans="1:21" ht="12.75" x14ac:dyDescent="0.2">
      <c r="A529" s="10"/>
      <c r="B529" s="10"/>
      <c r="C529" s="10"/>
      <c r="D529" s="10"/>
      <c r="E529" s="10"/>
      <c r="F529" s="10"/>
      <c r="G529" s="10"/>
      <c r="H529" s="10"/>
      <c r="I529" s="10"/>
      <c r="J529" s="10"/>
      <c r="K529" s="10"/>
      <c r="L529" s="10"/>
      <c r="M529" s="10"/>
      <c r="N529" s="10"/>
      <c r="O529" s="10"/>
      <c r="P529" s="10"/>
      <c r="Q529" s="10"/>
      <c r="R529" s="10"/>
      <c r="S529" s="10"/>
      <c r="T529" s="10"/>
      <c r="U529" s="10"/>
    </row>
    <row r="530" spans="1:21" ht="12.75" x14ac:dyDescent="0.2">
      <c r="A530" s="10"/>
      <c r="B530" s="10"/>
      <c r="C530" s="10"/>
      <c r="D530" s="10"/>
      <c r="E530" s="10"/>
      <c r="F530" s="10"/>
      <c r="G530" s="10"/>
      <c r="H530" s="10"/>
      <c r="I530" s="10"/>
      <c r="J530" s="10"/>
      <c r="K530" s="10"/>
      <c r="L530" s="10"/>
      <c r="M530" s="10"/>
      <c r="N530" s="10"/>
      <c r="O530" s="10"/>
      <c r="P530" s="10"/>
      <c r="Q530" s="10"/>
      <c r="R530" s="10"/>
      <c r="S530" s="10"/>
      <c r="T530" s="10"/>
      <c r="U530" s="10"/>
    </row>
    <row r="531" spans="1:21" ht="12.75" x14ac:dyDescent="0.2">
      <c r="A531" s="10"/>
      <c r="B531" s="10"/>
      <c r="C531" s="10"/>
      <c r="D531" s="10"/>
      <c r="E531" s="10"/>
      <c r="F531" s="10"/>
      <c r="G531" s="10"/>
      <c r="H531" s="10"/>
      <c r="I531" s="10"/>
      <c r="J531" s="10"/>
      <c r="K531" s="10"/>
      <c r="L531" s="10"/>
      <c r="M531" s="10"/>
      <c r="N531" s="10"/>
      <c r="O531" s="10"/>
      <c r="P531" s="10"/>
      <c r="Q531" s="10"/>
      <c r="R531" s="10"/>
      <c r="S531" s="10"/>
      <c r="T531" s="10"/>
      <c r="U531" s="10"/>
    </row>
    <row r="532" spans="1:21" ht="12.75" x14ac:dyDescent="0.2">
      <c r="A532" s="10"/>
      <c r="B532" s="10"/>
      <c r="C532" s="10"/>
      <c r="D532" s="10"/>
      <c r="E532" s="10"/>
      <c r="F532" s="10"/>
      <c r="G532" s="10"/>
      <c r="H532" s="10"/>
      <c r="I532" s="10"/>
      <c r="J532" s="10"/>
      <c r="K532" s="10"/>
      <c r="L532" s="10"/>
      <c r="M532" s="10"/>
      <c r="N532" s="10"/>
      <c r="O532" s="10"/>
      <c r="P532" s="10"/>
      <c r="Q532" s="10"/>
      <c r="R532" s="10"/>
      <c r="S532" s="10"/>
      <c r="T532" s="10"/>
      <c r="U532" s="10"/>
    </row>
    <row r="533" spans="1:21" ht="12.75" x14ac:dyDescent="0.2">
      <c r="A533" s="10"/>
      <c r="B533" s="10"/>
      <c r="C533" s="10"/>
      <c r="D533" s="10"/>
      <c r="E533" s="10"/>
      <c r="F533" s="10"/>
      <c r="G533" s="10"/>
      <c r="H533" s="10"/>
      <c r="I533" s="10"/>
      <c r="J533" s="10"/>
      <c r="K533" s="10"/>
      <c r="L533" s="10"/>
      <c r="M533" s="10"/>
      <c r="N533" s="10"/>
      <c r="O533" s="10"/>
      <c r="P533" s="10"/>
      <c r="Q533" s="10"/>
      <c r="R533" s="10"/>
      <c r="S533" s="10"/>
      <c r="T533" s="10"/>
      <c r="U533" s="10"/>
    </row>
    <row r="534" spans="1:21" ht="12.75" x14ac:dyDescent="0.2">
      <c r="A534" s="10"/>
      <c r="B534" s="10"/>
      <c r="C534" s="10"/>
      <c r="D534" s="10"/>
      <c r="E534" s="10"/>
      <c r="F534" s="10"/>
      <c r="G534" s="10"/>
      <c r="H534" s="10"/>
      <c r="I534" s="10"/>
      <c r="J534" s="10"/>
      <c r="K534" s="10"/>
      <c r="L534" s="10"/>
      <c r="M534" s="10"/>
      <c r="N534" s="10"/>
      <c r="O534" s="10"/>
      <c r="P534" s="10"/>
      <c r="Q534" s="10"/>
      <c r="R534" s="10"/>
      <c r="S534" s="10"/>
      <c r="T534" s="10"/>
      <c r="U534" s="10"/>
    </row>
    <row r="535" spans="1:21" ht="12.75" x14ac:dyDescent="0.2">
      <c r="A535" s="10"/>
      <c r="B535" s="10"/>
      <c r="C535" s="10"/>
      <c r="D535" s="10"/>
      <c r="E535" s="10"/>
      <c r="F535" s="10"/>
      <c r="G535" s="10"/>
      <c r="H535" s="10"/>
      <c r="I535" s="10"/>
      <c r="J535" s="10"/>
      <c r="K535" s="10"/>
      <c r="L535" s="10"/>
      <c r="M535" s="10"/>
      <c r="N535" s="10"/>
      <c r="O535" s="10"/>
      <c r="P535" s="10"/>
      <c r="Q535" s="10"/>
      <c r="R535" s="10"/>
      <c r="S535" s="10"/>
      <c r="T535" s="10"/>
      <c r="U535" s="10"/>
    </row>
    <row r="536" spans="1:21" ht="12.75" x14ac:dyDescent="0.2">
      <c r="A536" s="10"/>
      <c r="B536" s="10"/>
      <c r="C536" s="10"/>
      <c r="D536" s="10"/>
      <c r="E536" s="10"/>
      <c r="F536" s="10"/>
      <c r="G536" s="10"/>
      <c r="H536" s="10"/>
      <c r="I536" s="10"/>
      <c r="J536" s="10"/>
      <c r="K536" s="10"/>
      <c r="L536" s="10"/>
      <c r="M536" s="10"/>
      <c r="N536" s="10"/>
      <c r="O536" s="10"/>
      <c r="P536" s="10"/>
      <c r="Q536" s="10"/>
      <c r="R536" s="10"/>
      <c r="S536" s="10"/>
      <c r="T536" s="10"/>
      <c r="U536" s="10"/>
    </row>
    <row r="537" spans="1:21" ht="12.75" x14ac:dyDescent="0.2">
      <c r="A537" s="10"/>
      <c r="B537" s="10"/>
      <c r="C537" s="10"/>
      <c r="D537" s="10"/>
      <c r="E537" s="10"/>
      <c r="F537" s="10"/>
      <c r="G537" s="10"/>
      <c r="H537" s="10"/>
      <c r="I537" s="10"/>
      <c r="J537" s="10"/>
      <c r="K537" s="10"/>
      <c r="L537" s="10"/>
      <c r="M537" s="10"/>
      <c r="N537" s="10"/>
      <c r="O537" s="10"/>
      <c r="P537" s="10"/>
      <c r="Q537" s="10"/>
      <c r="R537" s="10"/>
      <c r="S537" s="10"/>
      <c r="T537" s="10"/>
      <c r="U537" s="10"/>
    </row>
    <row r="538" spans="1:21" ht="12.75" x14ac:dyDescent="0.2">
      <c r="A538" s="10"/>
      <c r="B538" s="10"/>
      <c r="C538" s="10"/>
      <c r="D538" s="10"/>
      <c r="E538" s="10"/>
      <c r="F538" s="10"/>
      <c r="G538" s="10"/>
      <c r="H538" s="10"/>
      <c r="I538" s="10"/>
      <c r="J538" s="10"/>
      <c r="K538" s="10"/>
      <c r="L538" s="10"/>
      <c r="M538" s="10"/>
      <c r="N538" s="10"/>
      <c r="O538" s="10"/>
      <c r="P538" s="10"/>
      <c r="Q538" s="10"/>
      <c r="R538" s="10"/>
      <c r="S538" s="10"/>
      <c r="T538" s="10"/>
      <c r="U538" s="10"/>
    </row>
    <row r="539" spans="1:21" ht="12.75" x14ac:dyDescent="0.2">
      <c r="A539" s="10"/>
      <c r="B539" s="10"/>
      <c r="C539" s="10"/>
      <c r="D539" s="10"/>
      <c r="E539" s="10"/>
      <c r="F539" s="10"/>
      <c r="G539" s="10"/>
      <c r="H539" s="10"/>
      <c r="I539" s="10"/>
      <c r="J539" s="10"/>
      <c r="K539" s="10"/>
      <c r="L539" s="10"/>
      <c r="M539" s="10"/>
      <c r="N539" s="10"/>
      <c r="O539" s="10"/>
      <c r="P539" s="10"/>
      <c r="Q539" s="10"/>
      <c r="R539" s="10"/>
      <c r="S539" s="10"/>
      <c r="T539" s="10"/>
      <c r="U539" s="10"/>
    </row>
    <row r="540" spans="1:21" ht="12.75" x14ac:dyDescent="0.2">
      <c r="A540" s="10"/>
      <c r="B540" s="10"/>
      <c r="C540" s="10"/>
      <c r="D540" s="10"/>
      <c r="E540" s="10"/>
      <c r="F540" s="10"/>
      <c r="G540" s="10"/>
      <c r="H540" s="10"/>
      <c r="I540" s="10"/>
      <c r="J540" s="10"/>
      <c r="K540" s="10"/>
      <c r="L540" s="10"/>
      <c r="M540" s="10"/>
      <c r="N540" s="10"/>
      <c r="O540" s="10"/>
      <c r="P540" s="10"/>
      <c r="Q540" s="10"/>
      <c r="R540" s="10"/>
      <c r="S540" s="10"/>
      <c r="T540" s="10"/>
      <c r="U540" s="10"/>
    </row>
    <row r="541" spans="1:21" ht="12.75" x14ac:dyDescent="0.2">
      <c r="A541" s="10"/>
      <c r="B541" s="10"/>
      <c r="C541" s="10"/>
      <c r="D541" s="10"/>
      <c r="E541" s="10"/>
      <c r="F541" s="10"/>
      <c r="G541" s="10"/>
      <c r="H541" s="10"/>
      <c r="I541" s="10"/>
      <c r="J541" s="10"/>
      <c r="K541" s="10"/>
      <c r="L541" s="10"/>
      <c r="M541" s="10"/>
      <c r="N541" s="10"/>
      <c r="O541" s="10"/>
      <c r="P541" s="10"/>
      <c r="Q541" s="10"/>
      <c r="R541" s="10"/>
      <c r="S541" s="10"/>
      <c r="T541" s="10"/>
      <c r="U541" s="10"/>
    </row>
    <row r="542" spans="1:21" ht="12.75" x14ac:dyDescent="0.2">
      <c r="A542" s="10"/>
      <c r="B542" s="10"/>
      <c r="C542" s="10"/>
      <c r="D542" s="10"/>
      <c r="E542" s="10"/>
      <c r="F542" s="10"/>
      <c r="G542" s="10"/>
      <c r="H542" s="10"/>
      <c r="I542" s="10"/>
      <c r="J542" s="10"/>
      <c r="K542" s="10"/>
      <c r="L542" s="10"/>
      <c r="M542" s="10"/>
      <c r="N542" s="10"/>
      <c r="O542" s="10"/>
      <c r="P542" s="10"/>
      <c r="Q542" s="10"/>
      <c r="R542" s="10"/>
      <c r="S542" s="10"/>
      <c r="T542" s="10"/>
      <c r="U542" s="10"/>
    </row>
    <row r="543" spans="1:21" ht="12.75" x14ac:dyDescent="0.2">
      <c r="A543" s="10"/>
      <c r="B543" s="10"/>
      <c r="C543" s="10"/>
      <c r="D543" s="10"/>
      <c r="E543" s="10"/>
      <c r="F543" s="10"/>
      <c r="G543" s="10"/>
      <c r="H543" s="10"/>
      <c r="I543" s="10"/>
      <c r="J543" s="10"/>
      <c r="K543" s="10"/>
      <c r="L543" s="10"/>
      <c r="M543" s="10"/>
      <c r="N543" s="10"/>
      <c r="O543" s="10"/>
      <c r="P543" s="10"/>
      <c r="Q543" s="10"/>
      <c r="R543" s="10"/>
      <c r="S543" s="10"/>
      <c r="T543" s="10"/>
      <c r="U543" s="10"/>
    </row>
    <row r="544" spans="1:21" ht="12.75" x14ac:dyDescent="0.2">
      <c r="A544" s="10"/>
      <c r="B544" s="10"/>
      <c r="C544" s="10"/>
      <c r="D544" s="10"/>
      <c r="E544" s="10"/>
      <c r="F544" s="10"/>
      <c r="G544" s="10"/>
      <c r="H544" s="10"/>
      <c r="I544" s="10"/>
      <c r="J544" s="10"/>
      <c r="K544" s="10"/>
      <c r="L544" s="10"/>
      <c r="M544" s="10"/>
      <c r="N544" s="10"/>
      <c r="O544" s="10"/>
      <c r="P544" s="10"/>
      <c r="Q544" s="10"/>
      <c r="R544" s="10"/>
      <c r="S544" s="10"/>
      <c r="T544" s="10"/>
      <c r="U544" s="10"/>
    </row>
    <row r="545" spans="1:21" ht="12.75" x14ac:dyDescent="0.2">
      <c r="A545" s="10"/>
      <c r="B545" s="10"/>
      <c r="C545" s="10"/>
      <c r="D545" s="10"/>
      <c r="E545" s="10"/>
      <c r="F545" s="10"/>
      <c r="G545" s="10"/>
      <c r="H545" s="10"/>
      <c r="I545" s="10"/>
      <c r="J545" s="10"/>
      <c r="K545" s="10"/>
      <c r="L545" s="10"/>
      <c r="M545" s="10"/>
      <c r="N545" s="10"/>
      <c r="O545" s="10"/>
      <c r="P545" s="10"/>
      <c r="Q545" s="10"/>
      <c r="R545" s="10"/>
      <c r="S545" s="10"/>
      <c r="T545" s="10"/>
      <c r="U545" s="10"/>
    </row>
    <row r="546" spans="1:21" ht="12.75" x14ac:dyDescent="0.2">
      <c r="A546" s="10"/>
      <c r="B546" s="10"/>
      <c r="C546" s="10"/>
      <c r="D546" s="10"/>
      <c r="E546" s="10"/>
      <c r="F546" s="10"/>
      <c r="G546" s="10"/>
      <c r="H546" s="10"/>
      <c r="I546" s="10"/>
      <c r="J546" s="10"/>
      <c r="K546" s="10"/>
      <c r="L546" s="10"/>
      <c r="M546" s="10"/>
      <c r="N546" s="10"/>
      <c r="O546" s="10"/>
      <c r="P546" s="10"/>
      <c r="Q546" s="10"/>
      <c r="R546" s="10"/>
      <c r="S546" s="10"/>
      <c r="T546" s="10"/>
      <c r="U546" s="10"/>
    </row>
    <row r="547" spans="1:21" ht="12.75" x14ac:dyDescent="0.2">
      <c r="A547" s="10"/>
      <c r="B547" s="10"/>
      <c r="C547" s="10"/>
      <c r="D547" s="10"/>
      <c r="E547" s="10"/>
      <c r="F547" s="10"/>
      <c r="G547" s="10"/>
      <c r="H547" s="10"/>
      <c r="I547" s="10"/>
      <c r="J547" s="10"/>
      <c r="K547" s="10"/>
      <c r="L547" s="10"/>
      <c r="M547" s="10"/>
      <c r="N547" s="10"/>
      <c r="O547" s="10"/>
      <c r="P547" s="10"/>
      <c r="Q547" s="10"/>
      <c r="R547" s="10"/>
      <c r="S547" s="10"/>
      <c r="T547" s="10"/>
      <c r="U547" s="10"/>
    </row>
    <row r="548" spans="1:21" ht="12.75" x14ac:dyDescent="0.2">
      <c r="A548" s="10"/>
      <c r="B548" s="10"/>
      <c r="C548" s="10"/>
      <c r="D548" s="10"/>
      <c r="E548" s="10"/>
      <c r="F548" s="10"/>
      <c r="G548" s="10"/>
      <c r="H548" s="10"/>
      <c r="I548" s="10"/>
      <c r="J548" s="10"/>
      <c r="K548" s="10"/>
      <c r="L548" s="10"/>
      <c r="M548" s="10"/>
      <c r="N548" s="10"/>
      <c r="O548" s="10"/>
      <c r="P548" s="10"/>
      <c r="Q548" s="10"/>
      <c r="R548" s="10"/>
      <c r="S548" s="10"/>
      <c r="T548" s="10"/>
      <c r="U548" s="10"/>
    </row>
    <row r="549" spans="1:21" ht="12.75" x14ac:dyDescent="0.2">
      <c r="A549" s="10"/>
      <c r="B549" s="10"/>
      <c r="C549" s="10"/>
      <c r="D549" s="10"/>
      <c r="E549" s="10"/>
      <c r="F549" s="10"/>
      <c r="G549" s="10"/>
      <c r="H549" s="10"/>
      <c r="I549" s="10"/>
      <c r="J549" s="10"/>
      <c r="K549" s="10"/>
      <c r="L549" s="10"/>
      <c r="M549" s="10"/>
      <c r="N549" s="10"/>
      <c r="O549" s="10"/>
      <c r="P549" s="10"/>
      <c r="Q549" s="10"/>
      <c r="R549" s="10"/>
      <c r="S549" s="10"/>
      <c r="T549" s="10"/>
      <c r="U549" s="10"/>
    </row>
    <row r="550" spans="1:21" ht="12.75" x14ac:dyDescent="0.2">
      <c r="A550" s="10"/>
      <c r="B550" s="10"/>
      <c r="C550" s="10"/>
      <c r="D550" s="10"/>
      <c r="E550" s="10"/>
      <c r="F550" s="10"/>
      <c r="G550" s="10"/>
      <c r="H550" s="10"/>
      <c r="I550" s="10"/>
      <c r="J550" s="10"/>
      <c r="K550" s="10"/>
      <c r="L550" s="10"/>
      <c r="M550" s="10"/>
      <c r="N550" s="10"/>
      <c r="O550" s="10"/>
      <c r="P550" s="10"/>
      <c r="Q550" s="10"/>
      <c r="R550" s="10"/>
      <c r="S550" s="10"/>
      <c r="T550" s="10"/>
      <c r="U550" s="10"/>
    </row>
    <row r="551" spans="1:21" ht="12.75" x14ac:dyDescent="0.2">
      <c r="A551" s="10"/>
      <c r="B551" s="10"/>
      <c r="C551" s="10"/>
      <c r="D551" s="10"/>
      <c r="E551" s="10"/>
      <c r="F551" s="10"/>
      <c r="G551" s="10"/>
      <c r="H551" s="10"/>
      <c r="I551" s="10"/>
      <c r="J551" s="10"/>
      <c r="K551" s="10"/>
      <c r="L551" s="10"/>
      <c r="M551" s="10"/>
      <c r="N551" s="10"/>
      <c r="O551" s="10"/>
      <c r="P551" s="10"/>
      <c r="Q551" s="10"/>
      <c r="R551" s="10"/>
      <c r="S551" s="10"/>
      <c r="T551" s="10"/>
      <c r="U551" s="10"/>
    </row>
    <row r="552" spans="1:21" ht="12.75" x14ac:dyDescent="0.2">
      <c r="A552" s="10"/>
      <c r="B552" s="10"/>
      <c r="C552" s="10"/>
      <c r="D552" s="10"/>
      <c r="E552" s="10"/>
      <c r="F552" s="10"/>
      <c r="G552" s="10"/>
      <c r="H552" s="10"/>
      <c r="I552" s="10"/>
      <c r="J552" s="10"/>
      <c r="K552" s="10"/>
      <c r="L552" s="10"/>
      <c r="M552" s="10"/>
      <c r="N552" s="10"/>
      <c r="O552" s="10"/>
      <c r="P552" s="10"/>
      <c r="Q552" s="10"/>
      <c r="R552" s="10"/>
      <c r="S552" s="10"/>
      <c r="T552" s="10"/>
      <c r="U552" s="10"/>
    </row>
    <row r="553" spans="1:21" ht="12.75" x14ac:dyDescent="0.2">
      <c r="A553" s="10"/>
      <c r="B553" s="10"/>
      <c r="C553" s="10"/>
      <c r="D553" s="10"/>
      <c r="E553" s="10"/>
      <c r="F553" s="10"/>
      <c r="G553" s="10"/>
      <c r="H553" s="10"/>
      <c r="I553" s="10"/>
      <c r="J553" s="10"/>
      <c r="K553" s="10"/>
      <c r="L553" s="10"/>
      <c r="M553" s="10"/>
      <c r="N553" s="10"/>
      <c r="O553" s="10"/>
      <c r="P553" s="10"/>
      <c r="Q553" s="10"/>
      <c r="R553" s="10"/>
      <c r="S553" s="10"/>
      <c r="T553" s="10"/>
      <c r="U553" s="10"/>
    </row>
    <row r="554" spans="1:21" ht="12.75" x14ac:dyDescent="0.2">
      <c r="A554" s="10"/>
      <c r="B554" s="10"/>
      <c r="C554" s="10"/>
      <c r="D554" s="10"/>
      <c r="E554" s="10"/>
      <c r="F554" s="10"/>
      <c r="G554" s="10"/>
      <c r="H554" s="10"/>
      <c r="I554" s="10"/>
      <c r="J554" s="10"/>
      <c r="K554" s="10"/>
      <c r="L554" s="10"/>
      <c r="M554" s="10"/>
      <c r="N554" s="10"/>
      <c r="O554" s="10"/>
      <c r="P554" s="10"/>
      <c r="Q554" s="10"/>
      <c r="R554" s="10"/>
      <c r="S554" s="10"/>
      <c r="T554" s="10"/>
      <c r="U554" s="10"/>
    </row>
    <row r="555" spans="1:21" ht="12.75" x14ac:dyDescent="0.2">
      <c r="A555" s="10"/>
      <c r="B555" s="10"/>
      <c r="C555" s="10"/>
      <c r="D555" s="10"/>
      <c r="E555" s="10"/>
      <c r="F555" s="10"/>
      <c r="G555" s="10"/>
      <c r="H555" s="10"/>
      <c r="I555" s="10"/>
      <c r="J555" s="10"/>
      <c r="K555" s="10"/>
      <c r="L555" s="10"/>
      <c r="M555" s="10"/>
      <c r="N555" s="10"/>
      <c r="O555" s="10"/>
      <c r="P555" s="10"/>
      <c r="Q555" s="10"/>
      <c r="R555" s="10"/>
      <c r="S555" s="10"/>
      <c r="T555" s="10"/>
      <c r="U555" s="10"/>
    </row>
    <row r="556" spans="1:21" ht="12.75" x14ac:dyDescent="0.2">
      <c r="A556" s="10"/>
      <c r="B556" s="10"/>
      <c r="C556" s="10"/>
      <c r="D556" s="10"/>
      <c r="E556" s="10"/>
      <c r="F556" s="10"/>
      <c r="G556" s="10"/>
      <c r="H556" s="10"/>
      <c r="I556" s="10"/>
      <c r="J556" s="10"/>
      <c r="K556" s="10"/>
      <c r="L556" s="10"/>
      <c r="M556" s="10"/>
      <c r="N556" s="10"/>
      <c r="O556" s="10"/>
      <c r="P556" s="10"/>
      <c r="Q556" s="10"/>
      <c r="R556" s="10"/>
      <c r="S556" s="10"/>
      <c r="T556" s="10"/>
      <c r="U556" s="10"/>
    </row>
    <row r="557" spans="1:21" ht="12.75" x14ac:dyDescent="0.2">
      <c r="A557" s="10"/>
      <c r="B557" s="10"/>
      <c r="C557" s="10"/>
      <c r="D557" s="10"/>
      <c r="E557" s="10"/>
      <c r="F557" s="10"/>
      <c r="G557" s="10"/>
      <c r="H557" s="10"/>
      <c r="I557" s="10"/>
      <c r="J557" s="10"/>
      <c r="K557" s="10"/>
      <c r="L557" s="10"/>
      <c r="M557" s="10"/>
      <c r="N557" s="10"/>
      <c r="O557" s="10"/>
      <c r="P557" s="10"/>
      <c r="Q557" s="10"/>
      <c r="R557" s="10"/>
      <c r="S557" s="10"/>
      <c r="T557" s="10"/>
      <c r="U557" s="10"/>
    </row>
    <row r="558" spans="1:21" ht="12.75" x14ac:dyDescent="0.2">
      <c r="A558" s="10"/>
      <c r="B558" s="10"/>
      <c r="C558" s="10"/>
      <c r="D558" s="10"/>
      <c r="E558" s="10"/>
      <c r="F558" s="10"/>
      <c r="G558" s="10"/>
      <c r="H558" s="10"/>
      <c r="I558" s="10"/>
      <c r="J558" s="10"/>
      <c r="K558" s="10"/>
      <c r="L558" s="10"/>
      <c r="M558" s="10"/>
      <c r="N558" s="10"/>
      <c r="O558" s="10"/>
      <c r="P558" s="10"/>
      <c r="Q558" s="10"/>
      <c r="R558" s="10"/>
      <c r="S558" s="10"/>
      <c r="T558" s="10"/>
      <c r="U558" s="10"/>
    </row>
    <row r="559" spans="1:21" ht="12.75" x14ac:dyDescent="0.2">
      <c r="A559" s="10"/>
      <c r="B559" s="10"/>
      <c r="C559" s="10"/>
      <c r="D559" s="10"/>
      <c r="E559" s="10"/>
      <c r="F559" s="10"/>
      <c r="G559" s="10"/>
      <c r="H559" s="10"/>
      <c r="I559" s="10"/>
      <c r="J559" s="10"/>
      <c r="K559" s="10"/>
      <c r="L559" s="10"/>
      <c r="M559" s="10"/>
      <c r="N559" s="10"/>
      <c r="O559" s="10"/>
      <c r="P559" s="10"/>
      <c r="Q559" s="10"/>
      <c r="R559" s="10"/>
      <c r="S559" s="10"/>
      <c r="T559" s="10"/>
      <c r="U559" s="10"/>
    </row>
    <row r="560" spans="1:21" ht="12.75" x14ac:dyDescent="0.2">
      <c r="A560" s="10"/>
      <c r="B560" s="10"/>
      <c r="C560" s="10"/>
      <c r="D560" s="10"/>
      <c r="E560" s="10"/>
      <c r="F560" s="10"/>
      <c r="G560" s="10"/>
      <c r="H560" s="10"/>
      <c r="I560" s="10"/>
      <c r="J560" s="10"/>
      <c r="K560" s="10"/>
      <c r="L560" s="10"/>
      <c r="M560" s="10"/>
      <c r="N560" s="10"/>
      <c r="O560" s="10"/>
      <c r="P560" s="10"/>
      <c r="Q560" s="10"/>
      <c r="R560" s="10"/>
      <c r="S560" s="10"/>
      <c r="T560" s="10"/>
      <c r="U560" s="10"/>
    </row>
    <row r="561" spans="1:21" ht="12.75" x14ac:dyDescent="0.2">
      <c r="A561" s="10"/>
      <c r="B561" s="10"/>
      <c r="C561" s="10"/>
      <c r="D561" s="10"/>
      <c r="E561" s="10"/>
      <c r="F561" s="10"/>
      <c r="G561" s="10"/>
      <c r="H561" s="10"/>
      <c r="I561" s="10"/>
      <c r="J561" s="10"/>
      <c r="K561" s="10"/>
      <c r="L561" s="10"/>
      <c r="M561" s="10"/>
      <c r="N561" s="10"/>
      <c r="O561" s="10"/>
      <c r="P561" s="10"/>
      <c r="Q561" s="10"/>
      <c r="R561" s="10"/>
      <c r="S561" s="10"/>
      <c r="T561" s="10"/>
      <c r="U561" s="10"/>
    </row>
    <row r="562" spans="1:21" ht="12.75" x14ac:dyDescent="0.2">
      <c r="A562" s="10"/>
      <c r="B562" s="10"/>
      <c r="C562" s="10"/>
      <c r="D562" s="10"/>
      <c r="E562" s="10"/>
      <c r="F562" s="10"/>
      <c r="G562" s="10"/>
      <c r="H562" s="10"/>
      <c r="I562" s="10"/>
      <c r="J562" s="10"/>
      <c r="K562" s="10"/>
      <c r="L562" s="10"/>
      <c r="M562" s="10"/>
      <c r="N562" s="10"/>
      <c r="O562" s="10"/>
      <c r="P562" s="10"/>
      <c r="Q562" s="10"/>
      <c r="R562" s="10"/>
      <c r="S562" s="10"/>
      <c r="T562" s="10"/>
      <c r="U562" s="10"/>
    </row>
    <row r="563" spans="1:21" ht="12.75" x14ac:dyDescent="0.2">
      <c r="A563" s="10"/>
      <c r="B563" s="10"/>
      <c r="C563" s="10"/>
      <c r="D563" s="10"/>
      <c r="E563" s="10"/>
      <c r="F563" s="10"/>
      <c r="G563" s="10"/>
      <c r="H563" s="10"/>
      <c r="I563" s="10"/>
      <c r="J563" s="10"/>
      <c r="K563" s="10"/>
      <c r="L563" s="10"/>
      <c r="M563" s="10"/>
      <c r="N563" s="10"/>
      <c r="O563" s="10"/>
      <c r="P563" s="10"/>
      <c r="Q563" s="10"/>
      <c r="R563" s="10"/>
      <c r="S563" s="10"/>
      <c r="T563" s="10"/>
      <c r="U563" s="10"/>
    </row>
    <row r="564" spans="1:21" ht="12.75" x14ac:dyDescent="0.2">
      <c r="A564" s="10"/>
      <c r="B564" s="10"/>
      <c r="C564" s="10"/>
      <c r="D564" s="10"/>
      <c r="E564" s="10"/>
      <c r="F564" s="10"/>
      <c r="G564" s="10"/>
      <c r="H564" s="10"/>
      <c r="I564" s="10"/>
      <c r="J564" s="10"/>
      <c r="K564" s="10"/>
      <c r="L564" s="10"/>
      <c r="M564" s="10"/>
      <c r="N564" s="10"/>
      <c r="O564" s="10"/>
      <c r="P564" s="10"/>
      <c r="Q564" s="10"/>
      <c r="R564" s="10"/>
      <c r="S564" s="10"/>
      <c r="T564" s="10"/>
      <c r="U564" s="10"/>
    </row>
    <row r="565" spans="1:21" ht="12.75" x14ac:dyDescent="0.2">
      <c r="A565" s="10"/>
      <c r="B565" s="10"/>
      <c r="C565" s="10"/>
      <c r="D565" s="10"/>
      <c r="E565" s="10"/>
      <c r="F565" s="10"/>
      <c r="G565" s="10"/>
      <c r="H565" s="10"/>
      <c r="I565" s="10"/>
      <c r="J565" s="10"/>
      <c r="K565" s="10"/>
      <c r="L565" s="10"/>
      <c r="M565" s="10"/>
      <c r="N565" s="10"/>
      <c r="O565" s="10"/>
      <c r="P565" s="10"/>
      <c r="Q565" s="10"/>
      <c r="R565" s="10"/>
      <c r="S565" s="10"/>
      <c r="T565" s="10"/>
      <c r="U565" s="10"/>
    </row>
    <row r="566" spans="1:21" ht="12.75" x14ac:dyDescent="0.2">
      <c r="A566" s="10"/>
      <c r="B566" s="10"/>
      <c r="C566" s="10"/>
      <c r="D566" s="10"/>
      <c r="E566" s="10"/>
      <c r="F566" s="10"/>
      <c r="G566" s="10"/>
      <c r="H566" s="10"/>
      <c r="I566" s="10"/>
      <c r="J566" s="10"/>
      <c r="K566" s="10"/>
      <c r="L566" s="10"/>
      <c r="M566" s="10"/>
      <c r="N566" s="10"/>
      <c r="O566" s="10"/>
      <c r="P566" s="10"/>
      <c r="Q566" s="10"/>
      <c r="R566" s="10"/>
      <c r="S566" s="10"/>
      <c r="T566" s="10"/>
      <c r="U566" s="10"/>
    </row>
    <row r="567" spans="1:21" ht="12.75" x14ac:dyDescent="0.2">
      <c r="A567" s="10"/>
      <c r="B567" s="10"/>
      <c r="C567" s="10"/>
      <c r="D567" s="10"/>
      <c r="E567" s="10"/>
      <c r="F567" s="10"/>
      <c r="G567" s="10"/>
      <c r="H567" s="10"/>
      <c r="I567" s="10"/>
      <c r="J567" s="10"/>
      <c r="K567" s="10"/>
      <c r="L567" s="10"/>
      <c r="M567" s="10"/>
      <c r="N567" s="10"/>
      <c r="O567" s="10"/>
      <c r="P567" s="10"/>
      <c r="Q567" s="10"/>
      <c r="R567" s="10"/>
      <c r="S567" s="10"/>
      <c r="T567" s="10"/>
      <c r="U567" s="10"/>
    </row>
    <row r="568" spans="1:21" ht="12.75" x14ac:dyDescent="0.2">
      <c r="A568" s="10"/>
      <c r="B568" s="10"/>
      <c r="C568" s="10"/>
      <c r="D568" s="10"/>
      <c r="E568" s="10"/>
      <c r="F568" s="10"/>
      <c r="G568" s="10"/>
      <c r="H568" s="10"/>
      <c r="I568" s="10"/>
      <c r="J568" s="10"/>
      <c r="K568" s="10"/>
      <c r="L568" s="10"/>
      <c r="M568" s="10"/>
      <c r="N568" s="10"/>
      <c r="O568" s="10"/>
      <c r="P568" s="10"/>
      <c r="Q568" s="10"/>
      <c r="R568" s="10"/>
      <c r="S568" s="10"/>
      <c r="T568" s="10"/>
      <c r="U568" s="10"/>
    </row>
    <row r="569" spans="1:21" ht="12.75" x14ac:dyDescent="0.2">
      <c r="A569" s="10"/>
      <c r="B569" s="10"/>
      <c r="C569" s="10"/>
      <c r="D569" s="10"/>
      <c r="E569" s="10"/>
      <c r="F569" s="10"/>
      <c r="G569" s="10"/>
      <c r="H569" s="10"/>
      <c r="I569" s="10"/>
      <c r="J569" s="10"/>
      <c r="K569" s="10"/>
      <c r="L569" s="10"/>
      <c r="M569" s="10"/>
      <c r="N569" s="10"/>
      <c r="O569" s="10"/>
      <c r="P569" s="10"/>
      <c r="Q569" s="10"/>
      <c r="R569" s="10"/>
      <c r="S569" s="10"/>
      <c r="T569" s="10"/>
      <c r="U569" s="10"/>
    </row>
    <row r="570" spans="1:21" ht="12.75" x14ac:dyDescent="0.2">
      <c r="A570" s="10"/>
      <c r="B570" s="10"/>
      <c r="C570" s="10"/>
      <c r="D570" s="10"/>
      <c r="E570" s="10"/>
      <c r="F570" s="10"/>
      <c r="G570" s="10"/>
      <c r="H570" s="10"/>
      <c r="I570" s="10"/>
      <c r="J570" s="10"/>
      <c r="K570" s="10"/>
      <c r="L570" s="10"/>
      <c r="M570" s="10"/>
      <c r="N570" s="10"/>
      <c r="O570" s="10"/>
      <c r="P570" s="10"/>
      <c r="Q570" s="10"/>
      <c r="R570" s="10"/>
      <c r="S570" s="10"/>
      <c r="T570" s="10"/>
      <c r="U570" s="10"/>
    </row>
    <row r="571" spans="1:21" ht="12.75" x14ac:dyDescent="0.2">
      <c r="A571" s="10"/>
      <c r="B571" s="10"/>
      <c r="C571" s="10"/>
      <c r="D571" s="10"/>
      <c r="E571" s="10"/>
      <c r="F571" s="10"/>
      <c r="G571" s="10"/>
      <c r="H571" s="10"/>
      <c r="I571" s="10"/>
      <c r="J571" s="10"/>
      <c r="K571" s="10"/>
      <c r="L571" s="10"/>
      <c r="M571" s="10"/>
      <c r="N571" s="10"/>
      <c r="O571" s="10"/>
      <c r="P571" s="10"/>
      <c r="Q571" s="10"/>
      <c r="R571" s="10"/>
      <c r="S571" s="10"/>
      <c r="T571" s="10"/>
      <c r="U571" s="10"/>
    </row>
    <row r="572" spans="1:21" ht="12.75" x14ac:dyDescent="0.2">
      <c r="A572" s="10"/>
      <c r="B572" s="10"/>
      <c r="C572" s="10"/>
      <c r="D572" s="10"/>
      <c r="E572" s="10"/>
      <c r="F572" s="10"/>
      <c r="G572" s="10"/>
      <c r="H572" s="10"/>
      <c r="I572" s="10"/>
      <c r="J572" s="10"/>
      <c r="K572" s="10"/>
      <c r="L572" s="10"/>
      <c r="M572" s="10"/>
      <c r="N572" s="10"/>
      <c r="O572" s="10"/>
      <c r="P572" s="10"/>
      <c r="Q572" s="10"/>
      <c r="R572" s="10"/>
      <c r="S572" s="10"/>
      <c r="T572" s="10"/>
      <c r="U572" s="10"/>
    </row>
    <row r="573" spans="1:21" ht="12.75" x14ac:dyDescent="0.2">
      <c r="A573" s="10"/>
      <c r="B573" s="10"/>
      <c r="C573" s="10"/>
      <c r="D573" s="10"/>
      <c r="E573" s="10"/>
      <c r="F573" s="10"/>
      <c r="G573" s="10"/>
      <c r="H573" s="10"/>
      <c r="I573" s="10"/>
      <c r="J573" s="10"/>
      <c r="K573" s="10"/>
      <c r="L573" s="10"/>
      <c r="M573" s="10"/>
      <c r="N573" s="10"/>
      <c r="O573" s="10"/>
      <c r="P573" s="10"/>
      <c r="Q573" s="10"/>
      <c r="R573" s="10"/>
      <c r="S573" s="10"/>
      <c r="T573" s="10"/>
      <c r="U573" s="10"/>
    </row>
    <row r="574" spans="1:21" ht="12.75" x14ac:dyDescent="0.2">
      <c r="A574" s="10"/>
      <c r="B574" s="10"/>
      <c r="C574" s="10"/>
      <c r="D574" s="10"/>
      <c r="E574" s="10"/>
      <c r="F574" s="10"/>
      <c r="G574" s="10"/>
      <c r="H574" s="10"/>
      <c r="I574" s="10"/>
      <c r="J574" s="10"/>
      <c r="K574" s="10"/>
      <c r="L574" s="10"/>
      <c r="M574" s="10"/>
      <c r="N574" s="10"/>
      <c r="O574" s="10"/>
      <c r="P574" s="10"/>
      <c r="Q574" s="10"/>
      <c r="R574" s="10"/>
      <c r="S574" s="10"/>
      <c r="T574" s="10"/>
      <c r="U574" s="10"/>
    </row>
    <row r="575" spans="1:21" ht="12.75" x14ac:dyDescent="0.2">
      <c r="A575" s="10"/>
      <c r="B575" s="10"/>
      <c r="C575" s="10"/>
      <c r="D575" s="10"/>
      <c r="E575" s="10"/>
      <c r="F575" s="10"/>
      <c r="G575" s="10"/>
      <c r="H575" s="10"/>
      <c r="I575" s="10"/>
      <c r="J575" s="10"/>
      <c r="K575" s="10"/>
      <c r="L575" s="10"/>
      <c r="M575" s="10"/>
      <c r="N575" s="10"/>
      <c r="O575" s="10"/>
      <c r="P575" s="10"/>
      <c r="Q575" s="10"/>
      <c r="R575" s="10"/>
      <c r="S575" s="10"/>
      <c r="T575" s="10"/>
      <c r="U575" s="10"/>
    </row>
    <row r="576" spans="1:21" ht="12.75" x14ac:dyDescent="0.2">
      <c r="A576" s="10"/>
      <c r="B576" s="10"/>
      <c r="C576" s="10"/>
      <c r="D576" s="10"/>
      <c r="E576" s="10"/>
      <c r="F576" s="10"/>
      <c r="G576" s="10"/>
      <c r="H576" s="10"/>
      <c r="I576" s="10"/>
      <c r="J576" s="10"/>
      <c r="K576" s="10"/>
      <c r="L576" s="10"/>
      <c r="M576" s="10"/>
      <c r="N576" s="10"/>
      <c r="O576" s="10"/>
      <c r="P576" s="10"/>
      <c r="Q576" s="10"/>
      <c r="R576" s="10"/>
      <c r="S576" s="10"/>
      <c r="T576" s="10"/>
      <c r="U576" s="10"/>
    </row>
    <row r="577" spans="1:21" ht="12.75" x14ac:dyDescent="0.2">
      <c r="A577" s="10"/>
      <c r="B577" s="10"/>
      <c r="C577" s="10"/>
      <c r="D577" s="10"/>
      <c r="E577" s="10"/>
      <c r="F577" s="10"/>
      <c r="G577" s="10"/>
      <c r="H577" s="10"/>
      <c r="I577" s="10"/>
      <c r="J577" s="10"/>
      <c r="K577" s="10"/>
      <c r="L577" s="10"/>
      <c r="M577" s="10"/>
      <c r="N577" s="10"/>
      <c r="O577" s="10"/>
      <c r="P577" s="10"/>
      <c r="Q577" s="10"/>
      <c r="R577" s="10"/>
      <c r="S577" s="10"/>
      <c r="T577" s="10"/>
      <c r="U577" s="10"/>
    </row>
    <row r="578" spans="1:21" ht="12.75" x14ac:dyDescent="0.2">
      <c r="A578" s="10"/>
      <c r="B578" s="10"/>
      <c r="C578" s="10"/>
      <c r="D578" s="10"/>
      <c r="E578" s="10"/>
      <c r="F578" s="10"/>
      <c r="G578" s="10"/>
      <c r="H578" s="10"/>
      <c r="I578" s="10"/>
      <c r="J578" s="10"/>
      <c r="K578" s="10"/>
      <c r="L578" s="10"/>
      <c r="M578" s="10"/>
      <c r="N578" s="10"/>
      <c r="O578" s="10"/>
      <c r="P578" s="10"/>
      <c r="Q578" s="10"/>
      <c r="R578" s="10"/>
      <c r="S578" s="10"/>
      <c r="T578" s="10"/>
      <c r="U578" s="10"/>
    </row>
    <row r="579" spans="1:21" ht="12.75" x14ac:dyDescent="0.2">
      <c r="A579" s="10"/>
      <c r="B579" s="10"/>
      <c r="C579" s="10"/>
      <c r="D579" s="10"/>
      <c r="E579" s="10"/>
      <c r="F579" s="10"/>
      <c r="G579" s="10"/>
      <c r="H579" s="10"/>
      <c r="I579" s="10"/>
      <c r="J579" s="10"/>
      <c r="K579" s="10"/>
      <c r="L579" s="10"/>
      <c r="M579" s="10"/>
      <c r="N579" s="10"/>
      <c r="O579" s="10"/>
      <c r="P579" s="10"/>
      <c r="Q579" s="10"/>
      <c r="R579" s="10"/>
      <c r="S579" s="10"/>
      <c r="T579" s="10"/>
      <c r="U579" s="10"/>
    </row>
    <row r="580" spans="1:21" ht="12.75" x14ac:dyDescent="0.2">
      <c r="A580" s="10"/>
      <c r="B580" s="10"/>
      <c r="C580" s="10"/>
      <c r="D580" s="10"/>
      <c r="E580" s="10"/>
      <c r="F580" s="10"/>
      <c r="G580" s="10"/>
      <c r="H580" s="10"/>
      <c r="I580" s="10"/>
      <c r="J580" s="10"/>
      <c r="K580" s="10"/>
      <c r="L580" s="10"/>
      <c r="M580" s="10"/>
      <c r="N580" s="10"/>
      <c r="O580" s="10"/>
      <c r="P580" s="10"/>
      <c r="Q580" s="10"/>
      <c r="R580" s="10"/>
      <c r="S580" s="10"/>
      <c r="T580" s="10"/>
      <c r="U580" s="10"/>
    </row>
    <row r="581" spans="1:21" ht="12.75" x14ac:dyDescent="0.2">
      <c r="A581" s="10"/>
      <c r="B581" s="10"/>
      <c r="C581" s="10"/>
      <c r="D581" s="10"/>
      <c r="E581" s="10"/>
      <c r="F581" s="10"/>
      <c r="G581" s="10"/>
      <c r="H581" s="10"/>
      <c r="I581" s="10"/>
      <c r="J581" s="10"/>
      <c r="K581" s="10"/>
      <c r="L581" s="10"/>
      <c r="M581" s="10"/>
      <c r="N581" s="10"/>
      <c r="O581" s="10"/>
      <c r="P581" s="10"/>
      <c r="Q581" s="10"/>
      <c r="R581" s="10"/>
      <c r="S581" s="10"/>
      <c r="T581" s="10"/>
      <c r="U581" s="10"/>
    </row>
    <row r="582" spans="1:21" ht="12.75" x14ac:dyDescent="0.2">
      <c r="A582" s="10"/>
      <c r="B582" s="10"/>
      <c r="C582" s="10"/>
      <c r="D582" s="10"/>
      <c r="E582" s="10"/>
      <c r="F582" s="10"/>
      <c r="G582" s="10"/>
      <c r="H582" s="10"/>
      <c r="I582" s="10"/>
      <c r="J582" s="10"/>
      <c r="K582" s="10"/>
      <c r="L582" s="10"/>
      <c r="M582" s="10"/>
      <c r="N582" s="10"/>
      <c r="O582" s="10"/>
      <c r="P582" s="10"/>
      <c r="Q582" s="10"/>
      <c r="R582" s="10"/>
      <c r="S582" s="10"/>
      <c r="T582" s="10"/>
      <c r="U582" s="10"/>
    </row>
    <row r="583" spans="1:21" ht="12.75" x14ac:dyDescent="0.2">
      <c r="A583" s="10"/>
      <c r="B583" s="10"/>
      <c r="C583" s="10"/>
      <c r="D583" s="10"/>
      <c r="E583" s="10"/>
      <c r="F583" s="10"/>
      <c r="G583" s="10"/>
      <c r="H583" s="10"/>
      <c r="I583" s="10"/>
      <c r="J583" s="10"/>
      <c r="K583" s="10"/>
      <c r="L583" s="10"/>
      <c r="M583" s="10"/>
      <c r="N583" s="10"/>
      <c r="O583" s="10"/>
      <c r="P583" s="10"/>
      <c r="Q583" s="10"/>
      <c r="R583" s="10"/>
      <c r="S583" s="10"/>
      <c r="T583" s="10"/>
      <c r="U583" s="10"/>
    </row>
    <row r="584" spans="1:21" ht="12.75" x14ac:dyDescent="0.2">
      <c r="A584" s="10"/>
      <c r="B584" s="10"/>
      <c r="C584" s="10"/>
      <c r="D584" s="10"/>
      <c r="E584" s="10"/>
      <c r="F584" s="10"/>
      <c r="G584" s="10"/>
      <c r="H584" s="10"/>
      <c r="I584" s="10"/>
      <c r="J584" s="10"/>
      <c r="K584" s="10"/>
      <c r="L584" s="10"/>
      <c r="M584" s="10"/>
      <c r="N584" s="10"/>
      <c r="O584" s="10"/>
      <c r="P584" s="10"/>
      <c r="Q584" s="10"/>
      <c r="R584" s="10"/>
      <c r="S584" s="10"/>
      <c r="T584" s="10"/>
      <c r="U584" s="10"/>
    </row>
    <row r="585" spans="1:21" ht="12.75" x14ac:dyDescent="0.2">
      <c r="A585" s="10"/>
      <c r="B585" s="10"/>
      <c r="C585" s="10"/>
      <c r="D585" s="10"/>
      <c r="E585" s="10"/>
      <c r="F585" s="10"/>
      <c r="G585" s="10"/>
      <c r="H585" s="10"/>
      <c r="I585" s="10"/>
      <c r="J585" s="10"/>
      <c r="K585" s="10"/>
      <c r="L585" s="10"/>
      <c r="M585" s="10"/>
      <c r="N585" s="10"/>
      <c r="O585" s="10"/>
      <c r="P585" s="10"/>
      <c r="Q585" s="10"/>
      <c r="R585" s="10"/>
      <c r="S585" s="10"/>
      <c r="T585" s="10"/>
      <c r="U585" s="10"/>
    </row>
    <row r="586" spans="1:21" ht="12.75" x14ac:dyDescent="0.2">
      <c r="A586" s="10"/>
      <c r="B586" s="10"/>
      <c r="C586" s="10"/>
      <c r="D586" s="10"/>
      <c r="E586" s="10"/>
      <c r="F586" s="10"/>
      <c r="G586" s="10"/>
      <c r="H586" s="10"/>
      <c r="I586" s="10"/>
      <c r="J586" s="10"/>
      <c r="K586" s="10"/>
      <c r="L586" s="10"/>
      <c r="M586" s="10"/>
      <c r="N586" s="10"/>
      <c r="O586" s="10"/>
      <c r="P586" s="10"/>
      <c r="Q586" s="10"/>
      <c r="R586" s="10"/>
      <c r="S586" s="10"/>
      <c r="T586" s="10"/>
      <c r="U586" s="10"/>
    </row>
    <row r="587" spans="1:21" ht="12.75" x14ac:dyDescent="0.2">
      <c r="A587" s="10"/>
      <c r="B587" s="10"/>
      <c r="C587" s="10"/>
      <c r="D587" s="10"/>
      <c r="E587" s="10"/>
      <c r="F587" s="10"/>
      <c r="G587" s="10"/>
      <c r="H587" s="10"/>
      <c r="I587" s="10"/>
      <c r="J587" s="10"/>
      <c r="K587" s="10"/>
      <c r="L587" s="10"/>
      <c r="M587" s="10"/>
      <c r="N587" s="10"/>
      <c r="O587" s="10"/>
      <c r="P587" s="10"/>
      <c r="Q587" s="10"/>
      <c r="R587" s="10"/>
      <c r="S587" s="10"/>
      <c r="T587" s="10"/>
      <c r="U587" s="10"/>
    </row>
    <row r="588" spans="1:21" ht="12.75" x14ac:dyDescent="0.2">
      <c r="A588" s="10"/>
      <c r="B588" s="10"/>
      <c r="C588" s="10"/>
      <c r="D588" s="10"/>
      <c r="E588" s="10"/>
      <c r="F588" s="10"/>
      <c r="G588" s="10"/>
      <c r="H588" s="10"/>
      <c r="I588" s="10"/>
      <c r="J588" s="10"/>
      <c r="K588" s="10"/>
      <c r="L588" s="10"/>
      <c r="M588" s="10"/>
      <c r="N588" s="10"/>
      <c r="O588" s="10"/>
      <c r="P588" s="10"/>
      <c r="Q588" s="10"/>
      <c r="R588" s="10"/>
      <c r="S588" s="10"/>
      <c r="T588" s="10"/>
      <c r="U588" s="10"/>
    </row>
    <row r="589" spans="1:21" ht="12.75" x14ac:dyDescent="0.2">
      <c r="A589" s="10"/>
      <c r="B589" s="10"/>
      <c r="C589" s="10"/>
      <c r="D589" s="10"/>
      <c r="E589" s="10"/>
      <c r="F589" s="10"/>
      <c r="G589" s="10"/>
      <c r="H589" s="10"/>
      <c r="I589" s="10"/>
      <c r="J589" s="10"/>
      <c r="K589" s="10"/>
      <c r="L589" s="10"/>
      <c r="M589" s="10"/>
      <c r="N589" s="10"/>
      <c r="O589" s="10"/>
      <c r="P589" s="10"/>
      <c r="Q589" s="10"/>
      <c r="R589" s="10"/>
      <c r="S589" s="10"/>
      <c r="T589" s="10"/>
      <c r="U589" s="10"/>
    </row>
    <row r="590" spans="1:21" ht="12.75" x14ac:dyDescent="0.2">
      <c r="A590" s="10"/>
      <c r="B590" s="10"/>
      <c r="C590" s="10"/>
      <c r="D590" s="10"/>
      <c r="E590" s="10"/>
      <c r="F590" s="10"/>
      <c r="G590" s="10"/>
      <c r="H590" s="10"/>
      <c r="I590" s="10"/>
      <c r="J590" s="10"/>
      <c r="K590" s="10"/>
      <c r="L590" s="10"/>
      <c r="M590" s="10"/>
      <c r="N590" s="10"/>
      <c r="O590" s="10"/>
      <c r="P590" s="10"/>
      <c r="Q590" s="10"/>
      <c r="R590" s="10"/>
      <c r="S590" s="10"/>
      <c r="T590" s="10"/>
      <c r="U590" s="10"/>
    </row>
    <row r="591" spans="1:21" ht="12.75" x14ac:dyDescent="0.2">
      <c r="A591" s="10"/>
      <c r="B591" s="10"/>
      <c r="C591" s="10"/>
      <c r="D591" s="10"/>
      <c r="E591" s="10"/>
      <c r="F591" s="10"/>
      <c r="G591" s="10"/>
      <c r="H591" s="10"/>
      <c r="I591" s="10"/>
      <c r="J591" s="10"/>
      <c r="K591" s="10"/>
      <c r="L591" s="10"/>
      <c r="M591" s="10"/>
      <c r="N591" s="10"/>
      <c r="O591" s="10"/>
      <c r="P591" s="10"/>
      <c r="Q591" s="10"/>
      <c r="R591" s="10"/>
      <c r="S591" s="10"/>
      <c r="T591" s="10"/>
      <c r="U591" s="10"/>
    </row>
    <row r="592" spans="1:21" ht="12.75" x14ac:dyDescent="0.2">
      <c r="A592" s="10"/>
      <c r="B592" s="10"/>
      <c r="C592" s="10"/>
      <c r="D592" s="10"/>
      <c r="E592" s="10"/>
      <c r="F592" s="10"/>
      <c r="G592" s="10"/>
      <c r="H592" s="10"/>
      <c r="I592" s="10"/>
      <c r="J592" s="10"/>
      <c r="K592" s="10"/>
      <c r="L592" s="10"/>
      <c r="M592" s="10"/>
      <c r="N592" s="10"/>
      <c r="O592" s="10"/>
      <c r="P592" s="10"/>
      <c r="Q592" s="10"/>
      <c r="R592" s="10"/>
      <c r="S592" s="10"/>
      <c r="T592" s="10"/>
      <c r="U592" s="10"/>
    </row>
    <row r="593" spans="1:21" ht="12.75" x14ac:dyDescent="0.2">
      <c r="A593" s="10"/>
      <c r="B593" s="10"/>
      <c r="C593" s="10"/>
      <c r="D593" s="10"/>
      <c r="E593" s="10"/>
      <c r="F593" s="10"/>
      <c r="G593" s="10"/>
      <c r="H593" s="10"/>
      <c r="I593" s="10"/>
      <c r="J593" s="10"/>
      <c r="K593" s="10"/>
      <c r="L593" s="10"/>
      <c r="M593" s="10"/>
      <c r="N593" s="10"/>
      <c r="O593" s="10"/>
      <c r="P593" s="10"/>
      <c r="Q593" s="10"/>
      <c r="R593" s="10"/>
      <c r="S593" s="10"/>
      <c r="T593" s="10"/>
      <c r="U593" s="10"/>
    </row>
    <row r="594" spans="1:21" ht="12.75" x14ac:dyDescent="0.2">
      <c r="A594" s="10"/>
      <c r="B594" s="10"/>
      <c r="C594" s="10"/>
      <c r="D594" s="10"/>
      <c r="E594" s="10"/>
      <c r="F594" s="10"/>
      <c r="G594" s="10"/>
      <c r="H594" s="10"/>
      <c r="I594" s="10"/>
      <c r="J594" s="10"/>
      <c r="K594" s="10"/>
      <c r="L594" s="10"/>
      <c r="M594" s="10"/>
      <c r="N594" s="10"/>
      <c r="O594" s="10"/>
      <c r="P594" s="10"/>
      <c r="Q594" s="10"/>
      <c r="R594" s="10"/>
      <c r="S594" s="10"/>
      <c r="T594" s="10"/>
      <c r="U594" s="10"/>
    </row>
    <row r="595" spans="1:21" ht="12.75" x14ac:dyDescent="0.2">
      <c r="A595" s="10"/>
      <c r="B595" s="10"/>
      <c r="C595" s="10"/>
      <c r="D595" s="10"/>
      <c r="E595" s="10"/>
      <c r="F595" s="10"/>
      <c r="G595" s="10"/>
      <c r="H595" s="10"/>
      <c r="I595" s="10"/>
      <c r="J595" s="10"/>
      <c r="K595" s="10"/>
      <c r="L595" s="10"/>
      <c r="M595" s="10"/>
      <c r="N595" s="10"/>
      <c r="O595" s="10"/>
      <c r="P595" s="10"/>
      <c r="Q595" s="10"/>
      <c r="R595" s="10"/>
      <c r="S595" s="10"/>
      <c r="T595" s="10"/>
      <c r="U595" s="10"/>
    </row>
    <row r="596" spans="1:21" ht="12.75" x14ac:dyDescent="0.2">
      <c r="A596" s="10"/>
      <c r="B596" s="10"/>
      <c r="C596" s="10"/>
      <c r="D596" s="10"/>
      <c r="E596" s="10"/>
      <c r="F596" s="10"/>
      <c r="G596" s="10"/>
      <c r="H596" s="10"/>
      <c r="I596" s="10"/>
      <c r="J596" s="10"/>
      <c r="K596" s="10"/>
      <c r="L596" s="10"/>
      <c r="M596" s="10"/>
      <c r="N596" s="10"/>
      <c r="O596" s="10"/>
      <c r="P596" s="10"/>
      <c r="Q596" s="10"/>
      <c r="R596" s="10"/>
      <c r="S596" s="10"/>
      <c r="T596" s="10"/>
      <c r="U596" s="10"/>
    </row>
    <row r="597" spans="1:21" ht="12.75" x14ac:dyDescent="0.2">
      <c r="A597" s="10"/>
      <c r="B597" s="10"/>
      <c r="C597" s="10"/>
      <c r="D597" s="10"/>
      <c r="E597" s="10"/>
      <c r="F597" s="10"/>
      <c r="G597" s="10"/>
      <c r="H597" s="10"/>
      <c r="I597" s="10"/>
      <c r="J597" s="10"/>
      <c r="K597" s="10"/>
      <c r="L597" s="10"/>
      <c r="M597" s="10"/>
      <c r="N597" s="10"/>
      <c r="O597" s="10"/>
      <c r="P597" s="10"/>
      <c r="Q597" s="10"/>
      <c r="R597" s="10"/>
      <c r="S597" s="10"/>
      <c r="T597" s="10"/>
      <c r="U597" s="10"/>
    </row>
    <row r="598" spans="1:21" ht="12.75" x14ac:dyDescent="0.2">
      <c r="A598" s="10"/>
      <c r="B598" s="10"/>
      <c r="C598" s="10"/>
      <c r="D598" s="10"/>
      <c r="E598" s="10"/>
      <c r="F598" s="10"/>
      <c r="G598" s="10"/>
      <c r="H598" s="10"/>
      <c r="I598" s="10"/>
      <c r="J598" s="10"/>
      <c r="K598" s="10"/>
      <c r="L598" s="10"/>
      <c r="M598" s="10"/>
      <c r="N598" s="10"/>
      <c r="O598" s="10"/>
      <c r="P598" s="10"/>
      <c r="Q598" s="10"/>
      <c r="R598" s="10"/>
      <c r="S598" s="10"/>
      <c r="T598" s="10"/>
      <c r="U598" s="10"/>
    </row>
    <row r="599" spans="1:21" ht="12.75" x14ac:dyDescent="0.2">
      <c r="A599" s="10"/>
      <c r="B599" s="10"/>
      <c r="C599" s="10"/>
      <c r="D599" s="10"/>
      <c r="E599" s="10"/>
      <c r="F599" s="10"/>
      <c r="G599" s="10"/>
      <c r="H599" s="10"/>
      <c r="I599" s="10"/>
      <c r="J599" s="10"/>
      <c r="K599" s="10"/>
      <c r="L599" s="10"/>
      <c r="M599" s="10"/>
      <c r="N599" s="10"/>
      <c r="O599" s="10"/>
      <c r="P599" s="10"/>
      <c r="Q599" s="10"/>
      <c r="R599" s="10"/>
      <c r="S599" s="10"/>
      <c r="T599" s="10"/>
      <c r="U599" s="10"/>
    </row>
    <row r="600" spans="1:21" ht="12.75" x14ac:dyDescent="0.2">
      <c r="A600" s="10"/>
      <c r="B600" s="10"/>
      <c r="C600" s="10"/>
      <c r="D600" s="10"/>
      <c r="E600" s="10"/>
      <c r="F600" s="10"/>
      <c r="G600" s="10"/>
      <c r="H600" s="10"/>
      <c r="I600" s="10"/>
      <c r="J600" s="10"/>
      <c r="K600" s="10"/>
      <c r="L600" s="10"/>
      <c r="M600" s="10"/>
      <c r="N600" s="10"/>
      <c r="O600" s="10"/>
      <c r="P600" s="10"/>
      <c r="Q600" s="10"/>
      <c r="R600" s="10"/>
      <c r="S600" s="10"/>
      <c r="T600" s="10"/>
      <c r="U600" s="10"/>
    </row>
    <row r="601" spans="1:21" ht="12.75" x14ac:dyDescent="0.2">
      <c r="A601" s="10"/>
      <c r="B601" s="10"/>
      <c r="C601" s="10"/>
      <c r="D601" s="10"/>
      <c r="E601" s="10"/>
      <c r="F601" s="10"/>
      <c r="G601" s="10"/>
      <c r="H601" s="10"/>
      <c r="I601" s="10"/>
      <c r="J601" s="10"/>
      <c r="K601" s="10"/>
      <c r="L601" s="10"/>
      <c r="M601" s="10"/>
      <c r="N601" s="10"/>
      <c r="O601" s="10"/>
      <c r="P601" s="10"/>
      <c r="Q601" s="10"/>
      <c r="R601" s="10"/>
      <c r="S601" s="10"/>
      <c r="T601" s="10"/>
      <c r="U601" s="10"/>
    </row>
    <row r="602" spans="1:21" ht="12.75" x14ac:dyDescent="0.2">
      <c r="A602" s="10"/>
      <c r="B602" s="10"/>
      <c r="C602" s="10"/>
      <c r="D602" s="10"/>
      <c r="E602" s="10"/>
      <c r="F602" s="10"/>
      <c r="G602" s="10"/>
      <c r="H602" s="10"/>
      <c r="I602" s="10"/>
      <c r="J602" s="10"/>
      <c r="K602" s="10"/>
      <c r="L602" s="10"/>
      <c r="M602" s="10"/>
      <c r="N602" s="10"/>
      <c r="O602" s="10"/>
      <c r="P602" s="10"/>
      <c r="Q602" s="10"/>
      <c r="R602" s="10"/>
      <c r="S602" s="10"/>
      <c r="T602" s="10"/>
      <c r="U602" s="10"/>
    </row>
    <row r="603" spans="1:21" ht="12.75" x14ac:dyDescent="0.2">
      <c r="A603" s="10"/>
      <c r="B603" s="10"/>
      <c r="C603" s="10"/>
      <c r="D603" s="10"/>
      <c r="E603" s="10"/>
      <c r="F603" s="10"/>
      <c r="G603" s="10"/>
      <c r="H603" s="10"/>
      <c r="I603" s="10"/>
      <c r="J603" s="10"/>
      <c r="K603" s="10"/>
      <c r="L603" s="10"/>
      <c r="M603" s="10"/>
      <c r="N603" s="10"/>
      <c r="O603" s="10"/>
      <c r="P603" s="10"/>
      <c r="Q603" s="10"/>
      <c r="R603" s="10"/>
      <c r="S603" s="10"/>
      <c r="T603" s="10"/>
      <c r="U603" s="10"/>
    </row>
    <row r="604" spans="1:21" ht="12.75" x14ac:dyDescent="0.2">
      <c r="A604" s="10"/>
      <c r="B604" s="10"/>
      <c r="C604" s="10"/>
      <c r="D604" s="10"/>
      <c r="E604" s="10"/>
      <c r="F604" s="10"/>
      <c r="G604" s="10"/>
      <c r="H604" s="10"/>
      <c r="I604" s="10"/>
      <c r="J604" s="10"/>
      <c r="K604" s="10"/>
      <c r="L604" s="10"/>
      <c r="M604" s="10"/>
      <c r="N604" s="10"/>
      <c r="O604" s="10"/>
      <c r="P604" s="10"/>
      <c r="Q604" s="10"/>
      <c r="R604" s="10"/>
      <c r="S604" s="10"/>
      <c r="T604" s="10"/>
      <c r="U604" s="10"/>
    </row>
    <row r="605" spans="1:21" ht="12.75" x14ac:dyDescent="0.2">
      <c r="A605" s="10"/>
      <c r="B605" s="10"/>
      <c r="C605" s="10"/>
      <c r="D605" s="10"/>
      <c r="E605" s="10"/>
      <c r="F605" s="10"/>
      <c r="G605" s="10"/>
      <c r="H605" s="10"/>
      <c r="I605" s="10"/>
      <c r="J605" s="10"/>
      <c r="K605" s="10"/>
      <c r="L605" s="10"/>
      <c r="M605" s="10"/>
      <c r="N605" s="10"/>
      <c r="O605" s="10"/>
      <c r="P605" s="10"/>
      <c r="Q605" s="10"/>
      <c r="R605" s="10"/>
      <c r="S605" s="10"/>
      <c r="T605" s="10"/>
      <c r="U605" s="10"/>
    </row>
    <row r="606" spans="1:21" ht="12.75" x14ac:dyDescent="0.2">
      <c r="A606" s="10"/>
      <c r="B606" s="10"/>
      <c r="C606" s="10"/>
      <c r="D606" s="10"/>
      <c r="E606" s="10"/>
      <c r="F606" s="10"/>
      <c r="G606" s="10"/>
      <c r="H606" s="10"/>
      <c r="I606" s="10"/>
      <c r="J606" s="10"/>
      <c r="K606" s="10"/>
      <c r="L606" s="10"/>
      <c r="M606" s="10"/>
      <c r="N606" s="10"/>
      <c r="O606" s="10"/>
      <c r="P606" s="10"/>
      <c r="Q606" s="10"/>
      <c r="R606" s="10"/>
      <c r="S606" s="10"/>
      <c r="T606" s="10"/>
      <c r="U606" s="10"/>
    </row>
    <row r="607" spans="1:21" ht="12.75" x14ac:dyDescent="0.2">
      <c r="A607" s="10"/>
      <c r="B607" s="10"/>
      <c r="C607" s="10"/>
      <c r="D607" s="10"/>
      <c r="E607" s="10"/>
      <c r="F607" s="10"/>
      <c r="G607" s="10"/>
      <c r="H607" s="10"/>
      <c r="I607" s="10"/>
      <c r="J607" s="10"/>
      <c r="K607" s="10"/>
      <c r="L607" s="10"/>
      <c r="M607" s="10"/>
      <c r="N607" s="10"/>
      <c r="O607" s="10"/>
      <c r="P607" s="10"/>
      <c r="Q607" s="10"/>
      <c r="R607" s="10"/>
      <c r="S607" s="10"/>
      <c r="T607" s="10"/>
      <c r="U607" s="10"/>
    </row>
    <row r="608" spans="1:21" ht="12.75" x14ac:dyDescent="0.2">
      <c r="A608" s="10"/>
      <c r="B608" s="10"/>
      <c r="C608" s="10"/>
      <c r="D608" s="10"/>
      <c r="E608" s="10"/>
      <c r="F608" s="10"/>
      <c r="G608" s="10"/>
      <c r="H608" s="10"/>
      <c r="I608" s="10"/>
      <c r="J608" s="10"/>
      <c r="K608" s="10"/>
      <c r="L608" s="10"/>
      <c r="M608" s="10"/>
      <c r="N608" s="10"/>
      <c r="O608" s="10"/>
      <c r="P608" s="10"/>
      <c r="Q608" s="10"/>
      <c r="R608" s="10"/>
      <c r="S608" s="10"/>
      <c r="T608" s="10"/>
      <c r="U608" s="10"/>
    </row>
    <row r="609" spans="1:21" ht="12.75" x14ac:dyDescent="0.2">
      <c r="A609" s="10"/>
      <c r="B609" s="10"/>
      <c r="C609" s="10"/>
      <c r="D609" s="10"/>
      <c r="E609" s="10"/>
      <c r="F609" s="10"/>
      <c r="G609" s="10"/>
      <c r="H609" s="10"/>
      <c r="I609" s="10"/>
      <c r="J609" s="10"/>
      <c r="K609" s="10"/>
      <c r="L609" s="10"/>
      <c r="M609" s="10"/>
      <c r="N609" s="10"/>
      <c r="O609" s="10"/>
      <c r="P609" s="10"/>
      <c r="Q609" s="10"/>
      <c r="R609" s="10"/>
      <c r="S609" s="10"/>
      <c r="T609" s="10"/>
      <c r="U609" s="10"/>
    </row>
    <row r="610" spans="1:21" ht="12.75" x14ac:dyDescent="0.2">
      <c r="A610" s="10"/>
      <c r="B610" s="10"/>
      <c r="C610" s="10"/>
      <c r="D610" s="10"/>
      <c r="E610" s="10"/>
      <c r="F610" s="10"/>
      <c r="G610" s="10"/>
      <c r="H610" s="10"/>
      <c r="I610" s="10"/>
      <c r="J610" s="10"/>
      <c r="K610" s="10"/>
      <c r="L610" s="10"/>
      <c r="M610" s="10"/>
      <c r="N610" s="10"/>
      <c r="O610" s="10"/>
      <c r="P610" s="10"/>
      <c r="Q610" s="10"/>
      <c r="R610" s="10"/>
      <c r="S610" s="10"/>
      <c r="T610" s="10"/>
      <c r="U610" s="10"/>
    </row>
    <row r="611" spans="1:21" ht="12.75" x14ac:dyDescent="0.2">
      <c r="A611" s="10"/>
      <c r="B611" s="10"/>
      <c r="C611" s="10"/>
      <c r="D611" s="10"/>
      <c r="E611" s="10"/>
      <c r="F611" s="10"/>
      <c r="G611" s="10"/>
      <c r="H611" s="10"/>
      <c r="I611" s="10"/>
      <c r="J611" s="10"/>
      <c r="K611" s="10"/>
      <c r="L611" s="10"/>
      <c r="M611" s="10"/>
      <c r="N611" s="10"/>
      <c r="O611" s="10"/>
      <c r="P611" s="10"/>
      <c r="Q611" s="10"/>
      <c r="R611" s="10"/>
      <c r="S611" s="10"/>
      <c r="T611" s="10"/>
      <c r="U611" s="10"/>
    </row>
    <row r="612" spans="1:21" ht="12.75" x14ac:dyDescent="0.2">
      <c r="A612" s="10"/>
      <c r="B612" s="10"/>
      <c r="C612" s="10"/>
      <c r="D612" s="10"/>
      <c r="E612" s="10"/>
      <c r="F612" s="10"/>
      <c r="G612" s="10"/>
      <c r="H612" s="10"/>
      <c r="I612" s="10"/>
      <c r="J612" s="10"/>
      <c r="K612" s="10"/>
      <c r="L612" s="10"/>
      <c r="M612" s="10"/>
      <c r="N612" s="10"/>
      <c r="O612" s="10"/>
      <c r="P612" s="10"/>
      <c r="Q612" s="10"/>
      <c r="R612" s="10"/>
      <c r="S612" s="10"/>
      <c r="T612" s="10"/>
      <c r="U612" s="10"/>
    </row>
    <row r="613" spans="1:21" ht="12.75" x14ac:dyDescent="0.2">
      <c r="A613" s="10"/>
      <c r="B613" s="10"/>
      <c r="C613" s="10"/>
      <c r="D613" s="10"/>
      <c r="E613" s="10"/>
      <c r="F613" s="10"/>
      <c r="G613" s="10"/>
      <c r="H613" s="10"/>
      <c r="I613" s="10"/>
      <c r="J613" s="10"/>
      <c r="K613" s="10"/>
      <c r="L613" s="10"/>
      <c r="M613" s="10"/>
      <c r="N613" s="10"/>
      <c r="O613" s="10"/>
      <c r="P613" s="10"/>
      <c r="Q613" s="10"/>
      <c r="R613" s="10"/>
      <c r="S613" s="10"/>
      <c r="T613" s="10"/>
      <c r="U613" s="10"/>
    </row>
    <row r="614" spans="1:21" ht="12.75" x14ac:dyDescent="0.2">
      <c r="A614" s="10"/>
      <c r="B614" s="10"/>
      <c r="C614" s="10"/>
      <c r="D614" s="10"/>
      <c r="E614" s="10"/>
      <c r="F614" s="10"/>
      <c r="G614" s="10"/>
      <c r="H614" s="10"/>
      <c r="I614" s="10"/>
      <c r="J614" s="10"/>
      <c r="K614" s="10"/>
      <c r="L614" s="10"/>
      <c r="M614" s="10"/>
      <c r="N614" s="10"/>
      <c r="O614" s="10"/>
      <c r="P614" s="10"/>
      <c r="Q614" s="10"/>
      <c r="R614" s="10"/>
      <c r="S614" s="10"/>
      <c r="T614" s="10"/>
      <c r="U614" s="10"/>
    </row>
    <row r="615" spans="1:21" ht="12.75" x14ac:dyDescent="0.2">
      <c r="A615" s="10"/>
      <c r="B615" s="10"/>
      <c r="C615" s="10"/>
      <c r="D615" s="10"/>
      <c r="E615" s="10"/>
      <c r="F615" s="10"/>
      <c r="G615" s="10"/>
      <c r="H615" s="10"/>
      <c r="I615" s="10"/>
      <c r="J615" s="10"/>
      <c r="K615" s="10"/>
      <c r="L615" s="10"/>
      <c r="M615" s="10"/>
      <c r="N615" s="10"/>
      <c r="O615" s="10"/>
      <c r="P615" s="10"/>
      <c r="Q615" s="10"/>
      <c r="R615" s="10"/>
      <c r="S615" s="10"/>
      <c r="T615" s="10"/>
      <c r="U615" s="10"/>
    </row>
    <row r="616" spans="1:21" ht="12.75" x14ac:dyDescent="0.2">
      <c r="A616" s="10"/>
      <c r="B616" s="10"/>
      <c r="C616" s="10"/>
      <c r="D616" s="10"/>
      <c r="E616" s="10"/>
      <c r="F616" s="10"/>
      <c r="G616" s="10"/>
      <c r="H616" s="10"/>
      <c r="I616" s="10"/>
      <c r="J616" s="10"/>
      <c r="K616" s="10"/>
      <c r="L616" s="10"/>
      <c r="M616" s="10"/>
      <c r="N616" s="10"/>
      <c r="O616" s="10"/>
      <c r="P616" s="10"/>
      <c r="Q616" s="10"/>
      <c r="R616" s="10"/>
      <c r="S616" s="10"/>
      <c r="T616" s="10"/>
      <c r="U616" s="10"/>
    </row>
    <row r="617" spans="1:21" ht="12.75" x14ac:dyDescent="0.2">
      <c r="A617" s="10"/>
      <c r="B617" s="10"/>
      <c r="C617" s="10"/>
      <c r="D617" s="10"/>
      <c r="E617" s="10"/>
      <c r="F617" s="10"/>
      <c r="G617" s="10"/>
      <c r="H617" s="10"/>
      <c r="I617" s="10"/>
      <c r="J617" s="10"/>
      <c r="K617" s="10"/>
      <c r="L617" s="10"/>
      <c r="M617" s="10"/>
      <c r="N617" s="10"/>
      <c r="O617" s="10"/>
      <c r="P617" s="10"/>
      <c r="Q617" s="10"/>
      <c r="R617" s="10"/>
      <c r="S617" s="10"/>
      <c r="T617" s="10"/>
      <c r="U617" s="10"/>
    </row>
    <row r="618" spans="1:21" ht="12.75" x14ac:dyDescent="0.2">
      <c r="A618" s="10"/>
      <c r="B618" s="10"/>
      <c r="C618" s="10"/>
      <c r="D618" s="10"/>
      <c r="E618" s="10"/>
      <c r="F618" s="10"/>
      <c r="G618" s="10"/>
      <c r="H618" s="10"/>
      <c r="I618" s="10"/>
      <c r="J618" s="10"/>
      <c r="K618" s="10"/>
      <c r="L618" s="10"/>
      <c r="M618" s="10"/>
      <c r="N618" s="10"/>
      <c r="O618" s="10"/>
      <c r="P618" s="10"/>
      <c r="Q618" s="10"/>
      <c r="R618" s="10"/>
      <c r="S618" s="10"/>
      <c r="T618" s="10"/>
      <c r="U618" s="10"/>
    </row>
    <row r="619" spans="1:21" ht="12.75" x14ac:dyDescent="0.2">
      <c r="A619" s="10"/>
      <c r="B619" s="10"/>
      <c r="C619" s="10"/>
      <c r="D619" s="10"/>
      <c r="E619" s="10"/>
      <c r="F619" s="10"/>
      <c r="G619" s="10"/>
      <c r="H619" s="10"/>
      <c r="I619" s="10"/>
      <c r="J619" s="10"/>
      <c r="K619" s="10"/>
      <c r="L619" s="10"/>
      <c r="M619" s="10"/>
      <c r="N619" s="10"/>
      <c r="O619" s="10"/>
      <c r="P619" s="10"/>
      <c r="Q619" s="10"/>
      <c r="R619" s="10"/>
      <c r="S619" s="10"/>
      <c r="T619" s="10"/>
      <c r="U619" s="10"/>
    </row>
    <row r="620" spans="1:21" ht="12.75" x14ac:dyDescent="0.2">
      <c r="A620" s="10"/>
      <c r="B620" s="10"/>
      <c r="C620" s="10"/>
      <c r="D620" s="10"/>
      <c r="E620" s="10"/>
      <c r="F620" s="10"/>
      <c r="G620" s="10"/>
      <c r="H620" s="10"/>
      <c r="I620" s="10"/>
      <c r="J620" s="10"/>
      <c r="K620" s="10"/>
      <c r="L620" s="10"/>
      <c r="M620" s="10"/>
      <c r="N620" s="10"/>
      <c r="O620" s="10"/>
      <c r="P620" s="10"/>
      <c r="Q620" s="10"/>
      <c r="R620" s="10"/>
      <c r="S620" s="10"/>
      <c r="T620" s="10"/>
      <c r="U620" s="10"/>
    </row>
    <row r="621" spans="1:21" ht="12.75" x14ac:dyDescent="0.2">
      <c r="A621" s="10"/>
      <c r="B621" s="10"/>
      <c r="C621" s="10"/>
      <c r="D621" s="10"/>
      <c r="E621" s="10"/>
      <c r="F621" s="10"/>
      <c r="G621" s="10"/>
      <c r="H621" s="10"/>
      <c r="I621" s="10"/>
      <c r="J621" s="10"/>
      <c r="K621" s="10"/>
      <c r="L621" s="10"/>
      <c r="M621" s="10"/>
      <c r="N621" s="10"/>
      <c r="O621" s="10"/>
      <c r="P621" s="10"/>
      <c r="Q621" s="10"/>
      <c r="R621" s="10"/>
      <c r="S621" s="10"/>
      <c r="T621" s="10"/>
      <c r="U621" s="10"/>
    </row>
    <row r="622" spans="1:21" ht="12.75" x14ac:dyDescent="0.2">
      <c r="A622" s="10"/>
      <c r="B622" s="10"/>
      <c r="C622" s="10"/>
      <c r="D622" s="10"/>
      <c r="E622" s="10"/>
      <c r="F622" s="10"/>
      <c r="G622" s="10"/>
      <c r="H622" s="10"/>
      <c r="I622" s="10"/>
      <c r="J622" s="10"/>
      <c r="K622" s="10"/>
      <c r="L622" s="10"/>
      <c r="M622" s="10"/>
      <c r="N622" s="10"/>
      <c r="O622" s="10"/>
      <c r="P622" s="10"/>
      <c r="Q622" s="10"/>
      <c r="R622" s="10"/>
      <c r="S622" s="10"/>
      <c r="T622" s="10"/>
      <c r="U622" s="10"/>
    </row>
    <row r="623" spans="1:21" ht="12.75" x14ac:dyDescent="0.2">
      <c r="A623" s="10"/>
      <c r="B623" s="10"/>
      <c r="C623" s="10"/>
      <c r="D623" s="10"/>
      <c r="E623" s="10"/>
      <c r="F623" s="10"/>
      <c r="G623" s="10"/>
      <c r="H623" s="10"/>
      <c r="I623" s="10"/>
      <c r="J623" s="10"/>
      <c r="K623" s="10"/>
      <c r="L623" s="10"/>
      <c r="M623" s="10"/>
      <c r="N623" s="10"/>
      <c r="O623" s="10"/>
      <c r="P623" s="10"/>
      <c r="Q623" s="10"/>
      <c r="R623" s="10"/>
      <c r="S623" s="10"/>
      <c r="T623" s="10"/>
      <c r="U623" s="10"/>
    </row>
    <row r="624" spans="1:21" ht="12.75" x14ac:dyDescent="0.2">
      <c r="A624" s="10"/>
      <c r="B624" s="10"/>
      <c r="C624" s="10"/>
      <c r="D624" s="10"/>
      <c r="E624" s="10"/>
      <c r="F624" s="10"/>
      <c r="G624" s="10"/>
      <c r="H624" s="10"/>
      <c r="I624" s="10"/>
      <c r="J624" s="10"/>
      <c r="K624" s="10"/>
      <c r="L624" s="10"/>
      <c r="M624" s="10"/>
      <c r="N624" s="10"/>
      <c r="O624" s="10"/>
      <c r="P624" s="10"/>
      <c r="Q624" s="10"/>
      <c r="R624" s="10"/>
      <c r="S624" s="10"/>
      <c r="T624" s="10"/>
      <c r="U624" s="10"/>
    </row>
    <row r="625" spans="1:21" ht="12.75" x14ac:dyDescent="0.2">
      <c r="A625" s="10"/>
      <c r="B625" s="10"/>
      <c r="C625" s="10"/>
      <c r="D625" s="10"/>
      <c r="E625" s="10"/>
      <c r="F625" s="10"/>
      <c r="G625" s="10"/>
      <c r="H625" s="10"/>
      <c r="I625" s="10"/>
      <c r="J625" s="10"/>
      <c r="K625" s="10"/>
      <c r="L625" s="10"/>
      <c r="M625" s="10"/>
      <c r="N625" s="10"/>
      <c r="O625" s="10"/>
      <c r="P625" s="10"/>
      <c r="Q625" s="10"/>
      <c r="R625" s="10"/>
      <c r="S625" s="10"/>
      <c r="T625" s="10"/>
      <c r="U625" s="10"/>
    </row>
    <row r="626" spans="1:21" ht="12.75" x14ac:dyDescent="0.2">
      <c r="A626" s="10"/>
      <c r="B626" s="10"/>
      <c r="C626" s="10"/>
      <c r="D626" s="10"/>
      <c r="E626" s="10"/>
      <c r="F626" s="10"/>
      <c r="G626" s="10"/>
      <c r="H626" s="10"/>
      <c r="I626" s="10"/>
      <c r="J626" s="10"/>
      <c r="K626" s="10"/>
      <c r="L626" s="10"/>
      <c r="M626" s="10"/>
      <c r="N626" s="10"/>
      <c r="O626" s="10"/>
      <c r="P626" s="10"/>
      <c r="Q626" s="10"/>
      <c r="R626" s="10"/>
      <c r="S626" s="10"/>
      <c r="T626" s="10"/>
      <c r="U626" s="10"/>
    </row>
    <row r="627" spans="1:21" ht="12.75" x14ac:dyDescent="0.2">
      <c r="A627" s="10"/>
      <c r="B627" s="10"/>
      <c r="C627" s="10"/>
      <c r="D627" s="10"/>
      <c r="E627" s="10"/>
      <c r="F627" s="10"/>
      <c r="G627" s="10"/>
      <c r="H627" s="10"/>
      <c r="I627" s="10"/>
      <c r="J627" s="10"/>
      <c r="K627" s="10"/>
      <c r="L627" s="10"/>
      <c r="M627" s="10"/>
      <c r="N627" s="10"/>
      <c r="O627" s="10"/>
      <c r="P627" s="10"/>
      <c r="Q627" s="10"/>
      <c r="R627" s="10"/>
      <c r="S627" s="10"/>
      <c r="T627" s="10"/>
      <c r="U627" s="10"/>
    </row>
    <row r="628" spans="1:21" ht="12.75" x14ac:dyDescent="0.2">
      <c r="A628" s="10"/>
      <c r="B628" s="10"/>
      <c r="C628" s="10"/>
      <c r="D628" s="10"/>
      <c r="E628" s="10"/>
      <c r="F628" s="10"/>
      <c r="G628" s="10"/>
      <c r="H628" s="10"/>
      <c r="I628" s="10"/>
      <c r="J628" s="10"/>
      <c r="K628" s="10"/>
      <c r="L628" s="10"/>
      <c r="M628" s="10"/>
      <c r="N628" s="10"/>
      <c r="O628" s="10"/>
      <c r="P628" s="10"/>
      <c r="Q628" s="10"/>
      <c r="R628" s="10"/>
      <c r="S628" s="10"/>
      <c r="T628" s="10"/>
      <c r="U628" s="10"/>
    </row>
    <row r="629" spans="1:21" ht="12.75" x14ac:dyDescent="0.2">
      <c r="A629" s="10"/>
      <c r="B629" s="10"/>
      <c r="C629" s="10"/>
      <c r="D629" s="10"/>
      <c r="E629" s="10"/>
      <c r="F629" s="10"/>
      <c r="G629" s="10"/>
      <c r="H629" s="10"/>
      <c r="I629" s="10"/>
      <c r="J629" s="10"/>
      <c r="K629" s="10"/>
      <c r="L629" s="10"/>
      <c r="M629" s="10"/>
      <c r="N629" s="10"/>
      <c r="O629" s="10"/>
      <c r="P629" s="10"/>
      <c r="Q629" s="10"/>
      <c r="R629" s="10"/>
      <c r="S629" s="10"/>
      <c r="T629" s="10"/>
      <c r="U629" s="10"/>
    </row>
    <row r="630" spans="1:21" ht="12.75" x14ac:dyDescent="0.2">
      <c r="A630" s="10"/>
      <c r="B630" s="10"/>
      <c r="C630" s="10"/>
      <c r="D630" s="10"/>
      <c r="E630" s="10"/>
      <c r="F630" s="10"/>
      <c r="G630" s="10"/>
      <c r="H630" s="10"/>
      <c r="I630" s="10"/>
      <c r="J630" s="10"/>
      <c r="K630" s="10"/>
      <c r="L630" s="10"/>
      <c r="M630" s="10"/>
      <c r="N630" s="10"/>
      <c r="O630" s="10"/>
      <c r="P630" s="10"/>
      <c r="Q630" s="10"/>
      <c r="R630" s="10"/>
      <c r="S630" s="10"/>
      <c r="T630" s="10"/>
      <c r="U630" s="10"/>
    </row>
    <row r="631" spans="1:21" ht="12.75" x14ac:dyDescent="0.2">
      <c r="A631" s="10"/>
      <c r="B631" s="10"/>
      <c r="C631" s="10"/>
      <c r="D631" s="10"/>
      <c r="E631" s="10"/>
      <c r="F631" s="10"/>
      <c r="G631" s="10"/>
      <c r="H631" s="10"/>
      <c r="I631" s="10"/>
      <c r="J631" s="10"/>
      <c r="K631" s="10"/>
      <c r="L631" s="10"/>
      <c r="M631" s="10"/>
      <c r="N631" s="10"/>
      <c r="O631" s="10"/>
      <c r="P631" s="10"/>
      <c r="Q631" s="10"/>
      <c r="R631" s="10"/>
      <c r="S631" s="10"/>
      <c r="T631" s="10"/>
      <c r="U631" s="10"/>
    </row>
    <row r="632" spans="1:21" ht="12.75" x14ac:dyDescent="0.2">
      <c r="A632" s="10"/>
      <c r="B632" s="10"/>
      <c r="C632" s="10"/>
      <c r="D632" s="10"/>
      <c r="E632" s="10"/>
      <c r="F632" s="10"/>
      <c r="G632" s="10"/>
      <c r="H632" s="10"/>
      <c r="I632" s="10"/>
      <c r="J632" s="10"/>
      <c r="K632" s="10"/>
      <c r="L632" s="10"/>
      <c r="M632" s="10"/>
      <c r="N632" s="10"/>
      <c r="O632" s="10"/>
      <c r="P632" s="10"/>
      <c r="Q632" s="10"/>
      <c r="R632" s="10"/>
      <c r="S632" s="10"/>
      <c r="T632" s="10"/>
      <c r="U632" s="10"/>
    </row>
    <row r="633" spans="1:21" ht="12.75" x14ac:dyDescent="0.2">
      <c r="A633" s="10"/>
      <c r="B633" s="10"/>
      <c r="C633" s="10"/>
      <c r="D633" s="10"/>
      <c r="E633" s="10"/>
      <c r="F633" s="10"/>
      <c r="G633" s="10"/>
      <c r="H633" s="10"/>
      <c r="I633" s="10"/>
      <c r="J633" s="10"/>
      <c r="K633" s="10"/>
      <c r="L633" s="10"/>
      <c r="M633" s="10"/>
      <c r="N633" s="10"/>
      <c r="O633" s="10"/>
      <c r="P633" s="10"/>
      <c r="Q633" s="10"/>
      <c r="R633" s="10"/>
      <c r="S633" s="10"/>
      <c r="T633" s="10"/>
      <c r="U633" s="10"/>
    </row>
    <row r="634" spans="1:21" ht="12.75" x14ac:dyDescent="0.2">
      <c r="A634" s="10"/>
      <c r="B634" s="10"/>
      <c r="C634" s="10"/>
      <c r="D634" s="10"/>
      <c r="E634" s="10"/>
      <c r="F634" s="10"/>
      <c r="G634" s="10"/>
      <c r="H634" s="10"/>
      <c r="I634" s="10"/>
      <c r="J634" s="10"/>
      <c r="K634" s="10"/>
      <c r="L634" s="10"/>
      <c r="M634" s="10"/>
      <c r="N634" s="10"/>
      <c r="O634" s="10"/>
      <c r="P634" s="10"/>
      <c r="Q634" s="10"/>
      <c r="R634" s="10"/>
      <c r="S634" s="10"/>
      <c r="T634" s="10"/>
      <c r="U634" s="10"/>
    </row>
    <row r="635" spans="1:21" ht="12.75" x14ac:dyDescent="0.2">
      <c r="A635" s="10"/>
      <c r="B635" s="10"/>
      <c r="C635" s="10"/>
      <c r="D635" s="10"/>
      <c r="E635" s="10"/>
      <c r="F635" s="10"/>
      <c r="G635" s="10"/>
      <c r="H635" s="10"/>
      <c r="I635" s="10"/>
      <c r="J635" s="10"/>
      <c r="K635" s="10"/>
      <c r="L635" s="10"/>
      <c r="M635" s="10"/>
      <c r="N635" s="10"/>
      <c r="O635" s="10"/>
      <c r="P635" s="10"/>
      <c r="Q635" s="10"/>
      <c r="R635" s="10"/>
      <c r="S635" s="10"/>
      <c r="T635" s="10"/>
      <c r="U635" s="10"/>
    </row>
    <row r="636" spans="1:21" ht="12.75" x14ac:dyDescent="0.2">
      <c r="A636" s="10"/>
      <c r="B636" s="10"/>
      <c r="C636" s="10"/>
      <c r="D636" s="10"/>
      <c r="E636" s="10"/>
      <c r="F636" s="10"/>
      <c r="G636" s="10"/>
      <c r="H636" s="10"/>
      <c r="I636" s="10"/>
      <c r="J636" s="10"/>
      <c r="K636" s="10"/>
      <c r="L636" s="10"/>
      <c r="M636" s="10"/>
      <c r="N636" s="10"/>
      <c r="O636" s="10"/>
      <c r="P636" s="10"/>
      <c r="Q636" s="10"/>
      <c r="R636" s="10"/>
      <c r="S636" s="10"/>
      <c r="T636" s="10"/>
      <c r="U636" s="10"/>
    </row>
    <row r="637" spans="1:21" ht="12.75" x14ac:dyDescent="0.2">
      <c r="A637" s="10"/>
      <c r="B637" s="10"/>
      <c r="C637" s="10"/>
      <c r="D637" s="10"/>
      <c r="E637" s="10"/>
      <c r="F637" s="10"/>
      <c r="G637" s="10"/>
      <c r="H637" s="10"/>
      <c r="I637" s="10"/>
      <c r="J637" s="10"/>
      <c r="K637" s="10"/>
      <c r="L637" s="10"/>
      <c r="M637" s="10"/>
      <c r="N637" s="10"/>
      <c r="O637" s="10"/>
      <c r="P637" s="10"/>
      <c r="Q637" s="10"/>
      <c r="R637" s="10"/>
      <c r="S637" s="10"/>
      <c r="T637" s="10"/>
      <c r="U637" s="10"/>
    </row>
    <row r="638" spans="1:21" ht="12.75" x14ac:dyDescent="0.2">
      <c r="A638" s="10"/>
      <c r="B638" s="10"/>
      <c r="C638" s="10"/>
      <c r="D638" s="10"/>
      <c r="E638" s="10"/>
      <c r="F638" s="10"/>
      <c r="G638" s="10"/>
      <c r="H638" s="10"/>
      <c r="I638" s="10"/>
      <c r="J638" s="10"/>
      <c r="K638" s="10"/>
      <c r="L638" s="10"/>
      <c r="M638" s="10"/>
      <c r="N638" s="10"/>
      <c r="O638" s="10"/>
      <c r="P638" s="10"/>
      <c r="Q638" s="10"/>
      <c r="R638" s="10"/>
      <c r="S638" s="10"/>
      <c r="T638" s="10"/>
      <c r="U638" s="10"/>
    </row>
    <row r="639" spans="1:21" ht="12.75" x14ac:dyDescent="0.2">
      <c r="A639" s="10"/>
      <c r="B639" s="10"/>
      <c r="C639" s="10"/>
      <c r="D639" s="10"/>
      <c r="E639" s="10"/>
      <c r="F639" s="10"/>
      <c r="G639" s="10"/>
      <c r="H639" s="10"/>
      <c r="I639" s="10"/>
      <c r="J639" s="10"/>
      <c r="K639" s="10"/>
      <c r="L639" s="10"/>
      <c r="M639" s="10"/>
      <c r="N639" s="10"/>
      <c r="O639" s="10"/>
      <c r="P639" s="10"/>
      <c r="Q639" s="10"/>
      <c r="R639" s="10"/>
      <c r="S639" s="10"/>
      <c r="T639" s="10"/>
      <c r="U639" s="10"/>
    </row>
    <row r="640" spans="1:21" ht="12.75" x14ac:dyDescent="0.2">
      <c r="A640" s="10"/>
      <c r="B640" s="10"/>
      <c r="C640" s="10"/>
      <c r="D640" s="10"/>
      <c r="E640" s="10"/>
      <c r="F640" s="10"/>
      <c r="G640" s="10"/>
      <c r="H640" s="10"/>
      <c r="I640" s="10"/>
      <c r="J640" s="10"/>
      <c r="K640" s="10"/>
      <c r="L640" s="10"/>
      <c r="M640" s="10"/>
      <c r="N640" s="10"/>
      <c r="O640" s="10"/>
      <c r="P640" s="10"/>
      <c r="Q640" s="10"/>
      <c r="R640" s="10"/>
      <c r="S640" s="10"/>
      <c r="T640" s="10"/>
      <c r="U640" s="10"/>
    </row>
    <row r="641" spans="1:21" ht="12.75" x14ac:dyDescent="0.2">
      <c r="A641" s="10"/>
      <c r="B641" s="10"/>
      <c r="C641" s="10"/>
      <c r="D641" s="10"/>
      <c r="E641" s="10"/>
      <c r="F641" s="10"/>
      <c r="G641" s="10"/>
      <c r="H641" s="10"/>
      <c r="I641" s="10"/>
      <c r="J641" s="10"/>
      <c r="K641" s="10"/>
      <c r="L641" s="10"/>
      <c r="M641" s="10"/>
      <c r="N641" s="10"/>
      <c r="O641" s="10"/>
      <c r="P641" s="10"/>
      <c r="Q641" s="10"/>
      <c r="R641" s="10"/>
      <c r="S641" s="10"/>
      <c r="T641" s="10"/>
      <c r="U641" s="10"/>
    </row>
    <row r="642" spans="1:21" ht="12.75" x14ac:dyDescent="0.2">
      <c r="A642" s="10"/>
      <c r="B642" s="10"/>
      <c r="C642" s="10"/>
      <c r="D642" s="10"/>
      <c r="E642" s="10"/>
      <c r="F642" s="10"/>
      <c r="G642" s="10"/>
      <c r="H642" s="10"/>
      <c r="I642" s="10"/>
      <c r="J642" s="10"/>
      <c r="K642" s="10"/>
      <c r="L642" s="10"/>
      <c r="M642" s="10"/>
      <c r="N642" s="10"/>
      <c r="O642" s="10"/>
      <c r="P642" s="10"/>
      <c r="Q642" s="10"/>
      <c r="R642" s="10"/>
      <c r="S642" s="10"/>
      <c r="T642" s="10"/>
      <c r="U642" s="10"/>
    </row>
    <row r="643" spans="1:21" ht="12.75" x14ac:dyDescent="0.2">
      <c r="A643" s="10"/>
      <c r="B643" s="10"/>
      <c r="C643" s="10"/>
      <c r="D643" s="10"/>
      <c r="E643" s="10"/>
      <c r="F643" s="10"/>
      <c r="G643" s="10"/>
      <c r="H643" s="10"/>
      <c r="I643" s="10"/>
      <c r="J643" s="10"/>
      <c r="K643" s="10"/>
      <c r="L643" s="10"/>
      <c r="M643" s="10"/>
      <c r="N643" s="10"/>
      <c r="O643" s="10"/>
      <c r="P643" s="10"/>
      <c r="Q643" s="10"/>
      <c r="R643" s="10"/>
      <c r="S643" s="10"/>
      <c r="T643" s="10"/>
      <c r="U643" s="10"/>
    </row>
    <row r="644" spans="1:21" ht="12.75" x14ac:dyDescent="0.2">
      <c r="A644" s="10"/>
      <c r="B644" s="10"/>
      <c r="C644" s="10"/>
      <c r="D644" s="10"/>
      <c r="E644" s="10"/>
      <c r="F644" s="10"/>
      <c r="G644" s="10"/>
      <c r="H644" s="10"/>
      <c r="I644" s="10"/>
      <c r="J644" s="10"/>
      <c r="K644" s="10"/>
      <c r="L644" s="10"/>
      <c r="M644" s="10"/>
      <c r="N644" s="10"/>
      <c r="O644" s="10"/>
      <c r="P644" s="10"/>
      <c r="Q644" s="10"/>
      <c r="R644" s="10"/>
      <c r="S644" s="10"/>
      <c r="T644" s="10"/>
      <c r="U644" s="10"/>
    </row>
    <row r="645" spans="1:21" ht="12.75" x14ac:dyDescent="0.2">
      <c r="A645" s="10"/>
      <c r="B645" s="10"/>
      <c r="C645" s="10"/>
      <c r="D645" s="10"/>
      <c r="E645" s="10"/>
      <c r="F645" s="10"/>
      <c r="G645" s="10"/>
      <c r="H645" s="10"/>
      <c r="I645" s="10"/>
      <c r="J645" s="10"/>
      <c r="K645" s="10"/>
      <c r="L645" s="10"/>
      <c r="M645" s="10"/>
      <c r="N645" s="10"/>
      <c r="O645" s="10"/>
      <c r="P645" s="10"/>
      <c r="Q645" s="10"/>
      <c r="R645" s="10"/>
      <c r="S645" s="10"/>
      <c r="T645" s="10"/>
      <c r="U645" s="10"/>
    </row>
    <row r="646" spans="1:21" ht="12.75" x14ac:dyDescent="0.2">
      <c r="A646" s="10"/>
      <c r="B646" s="10"/>
      <c r="C646" s="10"/>
      <c r="D646" s="10"/>
      <c r="E646" s="10"/>
      <c r="F646" s="10"/>
      <c r="G646" s="10"/>
      <c r="H646" s="10"/>
      <c r="I646" s="10"/>
      <c r="J646" s="10"/>
      <c r="K646" s="10"/>
      <c r="L646" s="10"/>
      <c r="M646" s="10"/>
      <c r="N646" s="10"/>
      <c r="O646" s="10"/>
      <c r="P646" s="10"/>
      <c r="Q646" s="10"/>
      <c r="R646" s="10"/>
      <c r="S646" s="10"/>
      <c r="T646" s="10"/>
      <c r="U646" s="10"/>
    </row>
    <row r="647" spans="1:21" ht="12.75" x14ac:dyDescent="0.2">
      <c r="A647" s="10"/>
      <c r="B647" s="10"/>
      <c r="C647" s="10"/>
      <c r="D647" s="10"/>
      <c r="E647" s="10"/>
      <c r="F647" s="10"/>
      <c r="G647" s="10"/>
      <c r="H647" s="10"/>
      <c r="I647" s="10"/>
      <c r="J647" s="10"/>
      <c r="K647" s="10"/>
      <c r="L647" s="10"/>
      <c r="M647" s="10"/>
      <c r="N647" s="10"/>
      <c r="O647" s="10"/>
      <c r="P647" s="10"/>
      <c r="Q647" s="10"/>
      <c r="R647" s="10"/>
      <c r="S647" s="10"/>
      <c r="T647" s="10"/>
      <c r="U647" s="10"/>
    </row>
    <row r="648" spans="1:21" ht="12.75" x14ac:dyDescent="0.2">
      <c r="A648" s="10"/>
      <c r="B648" s="10"/>
      <c r="C648" s="10"/>
      <c r="D648" s="10"/>
      <c r="E648" s="10"/>
      <c r="F648" s="10"/>
      <c r="G648" s="10"/>
      <c r="H648" s="10"/>
      <c r="I648" s="10"/>
      <c r="J648" s="10"/>
      <c r="K648" s="10"/>
      <c r="L648" s="10"/>
      <c r="M648" s="10"/>
      <c r="N648" s="10"/>
      <c r="O648" s="10"/>
      <c r="P648" s="10"/>
      <c r="Q648" s="10"/>
      <c r="R648" s="10"/>
      <c r="S648" s="10"/>
      <c r="T648" s="10"/>
      <c r="U648" s="10"/>
    </row>
    <row r="649" spans="1:21" ht="12.75" x14ac:dyDescent="0.2">
      <c r="A649" s="10"/>
      <c r="B649" s="10"/>
      <c r="C649" s="10"/>
      <c r="D649" s="10"/>
      <c r="E649" s="10"/>
      <c r="F649" s="10"/>
      <c r="G649" s="10"/>
      <c r="H649" s="10"/>
      <c r="I649" s="10"/>
      <c r="J649" s="10"/>
      <c r="K649" s="10"/>
      <c r="L649" s="10"/>
      <c r="M649" s="10"/>
      <c r="N649" s="10"/>
      <c r="O649" s="10"/>
      <c r="P649" s="10"/>
      <c r="Q649" s="10"/>
      <c r="R649" s="10"/>
      <c r="S649" s="10"/>
      <c r="T649" s="10"/>
      <c r="U649" s="10"/>
    </row>
    <row r="650" spans="1:21" ht="12.75" x14ac:dyDescent="0.2">
      <c r="A650" s="10"/>
      <c r="B650" s="10"/>
      <c r="C650" s="10"/>
      <c r="D650" s="10"/>
      <c r="E650" s="10"/>
      <c r="F650" s="10"/>
      <c r="G650" s="10"/>
      <c r="H650" s="10"/>
      <c r="I650" s="10"/>
      <c r="J650" s="10"/>
      <c r="K650" s="10"/>
      <c r="L650" s="10"/>
      <c r="M650" s="10"/>
      <c r="N650" s="10"/>
      <c r="O650" s="10"/>
      <c r="P650" s="10"/>
      <c r="Q650" s="10"/>
      <c r="R650" s="10"/>
      <c r="S650" s="10"/>
      <c r="T650" s="10"/>
      <c r="U650" s="10"/>
    </row>
    <row r="651" spans="1:21" ht="12.75" x14ac:dyDescent="0.2">
      <c r="A651" s="10"/>
      <c r="B651" s="10"/>
      <c r="C651" s="10"/>
      <c r="D651" s="10"/>
      <c r="E651" s="10"/>
      <c r="F651" s="10"/>
      <c r="G651" s="10"/>
      <c r="H651" s="10"/>
      <c r="I651" s="10"/>
      <c r="J651" s="10"/>
      <c r="K651" s="10"/>
      <c r="L651" s="10"/>
      <c r="M651" s="10"/>
      <c r="N651" s="10"/>
      <c r="O651" s="10"/>
      <c r="P651" s="10"/>
      <c r="Q651" s="10"/>
      <c r="R651" s="10"/>
      <c r="S651" s="10"/>
      <c r="T651" s="10"/>
      <c r="U651" s="10"/>
    </row>
    <row r="652" spans="1:21" ht="12.75" x14ac:dyDescent="0.2">
      <c r="A652" s="10"/>
      <c r="B652" s="10"/>
      <c r="C652" s="10"/>
      <c r="D652" s="10"/>
      <c r="E652" s="10"/>
      <c r="F652" s="10"/>
      <c r="G652" s="10"/>
      <c r="H652" s="10"/>
      <c r="I652" s="10"/>
      <c r="J652" s="10"/>
      <c r="K652" s="10"/>
      <c r="L652" s="10"/>
      <c r="M652" s="10"/>
      <c r="N652" s="10"/>
      <c r="O652" s="10"/>
      <c r="P652" s="10"/>
      <c r="Q652" s="10"/>
      <c r="R652" s="10"/>
      <c r="S652" s="10"/>
      <c r="T652" s="10"/>
      <c r="U652" s="10"/>
    </row>
    <row r="653" spans="1:21" ht="12.75" x14ac:dyDescent="0.2">
      <c r="A653" s="10"/>
      <c r="B653" s="10"/>
      <c r="C653" s="10"/>
      <c r="D653" s="10"/>
      <c r="E653" s="10"/>
      <c r="F653" s="10"/>
      <c r="G653" s="10"/>
      <c r="H653" s="10"/>
      <c r="I653" s="10"/>
      <c r="J653" s="10"/>
      <c r="K653" s="10"/>
      <c r="L653" s="10"/>
      <c r="M653" s="10"/>
      <c r="N653" s="10"/>
      <c r="O653" s="10"/>
      <c r="P653" s="10"/>
      <c r="Q653" s="10"/>
      <c r="R653" s="10"/>
      <c r="S653" s="10"/>
      <c r="T653" s="10"/>
      <c r="U653" s="10"/>
    </row>
    <row r="654" spans="1:21" ht="12.75" x14ac:dyDescent="0.2">
      <c r="A654" s="10"/>
      <c r="B654" s="10"/>
      <c r="C654" s="10"/>
      <c r="D654" s="10"/>
      <c r="E654" s="10"/>
      <c r="F654" s="10"/>
      <c r="G654" s="10"/>
      <c r="H654" s="10"/>
      <c r="I654" s="10"/>
      <c r="J654" s="10"/>
      <c r="K654" s="10"/>
      <c r="L654" s="10"/>
      <c r="M654" s="10"/>
      <c r="N654" s="10"/>
      <c r="O654" s="10"/>
      <c r="P654" s="10"/>
      <c r="Q654" s="10"/>
      <c r="R654" s="10"/>
      <c r="S654" s="10"/>
      <c r="T654" s="10"/>
      <c r="U654" s="10"/>
    </row>
    <row r="655" spans="1:21" ht="12.75" x14ac:dyDescent="0.2">
      <c r="A655" s="10"/>
      <c r="B655" s="10"/>
      <c r="C655" s="10"/>
      <c r="D655" s="10"/>
      <c r="E655" s="10"/>
      <c r="F655" s="10"/>
      <c r="G655" s="10"/>
      <c r="H655" s="10"/>
      <c r="I655" s="10"/>
      <c r="J655" s="10"/>
      <c r="K655" s="10"/>
      <c r="L655" s="10"/>
      <c r="M655" s="10"/>
      <c r="N655" s="10"/>
      <c r="O655" s="10"/>
      <c r="P655" s="10"/>
      <c r="Q655" s="10"/>
      <c r="R655" s="10"/>
      <c r="S655" s="10"/>
      <c r="T655" s="10"/>
      <c r="U655" s="10"/>
    </row>
    <row r="656" spans="1:21" ht="12.75" x14ac:dyDescent="0.2">
      <c r="A656" s="10"/>
      <c r="B656" s="10"/>
      <c r="C656" s="10"/>
      <c r="D656" s="10"/>
      <c r="E656" s="10"/>
      <c r="F656" s="10"/>
      <c r="G656" s="10"/>
      <c r="H656" s="10"/>
      <c r="I656" s="10"/>
      <c r="J656" s="10"/>
      <c r="K656" s="10"/>
      <c r="L656" s="10"/>
      <c r="M656" s="10"/>
      <c r="N656" s="10"/>
      <c r="O656" s="10"/>
      <c r="P656" s="10"/>
      <c r="Q656" s="10"/>
      <c r="R656" s="10"/>
      <c r="S656" s="10"/>
      <c r="T656" s="10"/>
      <c r="U656" s="10"/>
    </row>
    <row r="657" spans="1:21" ht="12.75" x14ac:dyDescent="0.2">
      <c r="A657" s="10"/>
      <c r="B657" s="10"/>
      <c r="C657" s="10"/>
      <c r="D657" s="10"/>
      <c r="E657" s="10"/>
      <c r="F657" s="10"/>
      <c r="G657" s="10"/>
      <c r="H657" s="10"/>
      <c r="I657" s="10"/>
      <c r="J657" s="10"/>
      <c r="K657" s="10"/>
      <c r="L657" s="10"/>
      <c r="M657" s="10"/>
      <c r="N657" s="10"/>
      <c r="O657" s="10"/>
      <c r="P657" s="10"/>
      <c r="Q657" s="10"/>
      <c r="R657" s="10"/>
      <c r="S657" s="10"/>
      <c r="T657" s="10"/>
      <c r="U657" s="10"/>
    </row>
    <row r="658" spans="1:21" ht="12.75" x14ac:dyDescent="0.2">
      <c r="A658" s="10"/>
      <c r="B658" s="10"/>
      <c r="C658" s="10"/>
      <c r="D658" s="10"/>
      <c r="E658" s="10"/>
      <c r="F658" s="10"/>
      <c r="G658" s="10"/>
      <c r="H658" s="10"/>
      <c r="I658" s="10"/>
      <c r="J658" s="10"/>
      <c r="K658" s="10"/>
      <c r="L658" s="10"/>
      <c r="M658" s="10"/>
      <c r="N658" s="10"/>
      <c r="O658" s="10"/>
      <c r="P658" s="10"/>
      <c r="Q658" s="10"/>
      <c r="R658" s="10"/>
      <c r="S658" s="10"/>
      <c r="T658" s="10"/>
      <c r="U658" s="10"/>
    </row>
    <row r="659" spans="1:21" ht="12.75" x14ac:dyDescent="0.2">
      <c r="A659" s="10"/>
      <c r="B659" s="10"/>
      <c r="C659" s="10"/>
      <c r="D659" s="10"/>
      <c r="E659" s="10"/>
      <c r="F659" s="10"/>
      <c r="G659" s="10"/>
      <c r="H659" s="10"/>
      <c r="I659" s="10"/>
      <c r="J659" s="10"/>
      <c r="K659" s="10"/>
      <c r="L659" s="10"/>
      <c r="M659" s="10"/>
      <c r="N659" s="10"/>
      <c r="O659" s="10"/>
      <c r="P659" s="10"/>
      <c r="Q659" s="10"/>
      <c r="R659" s="10"/>
      <c r="S659" s="10"/>
      <c r="T659" s="10"/>
      <c r="U659" s="10"/>
    </row>
    <row r="660" spans="1:21" ht="12.75" x14ac:dyDescent="0.2">
      <c r="A660" s="10"/>
      <c r="B660" s="10"/>
      <c r="C660" s="10"/>
      <c r="D660" s="10"/>
      <c r="E660" s="10"/>
      <c r="F660" s="10"/>
      <c r="G660" s="10"/>
      <c r="H660" s="10"/>
      <c r="I660" s="10"/>
      <c r="J660" s="10"/>
      <c r="K660" s="10"/>
      <c r="L660" s="10"/>
      <c r="M660" s="10"/>
      <c r="N660" s="10"/>
      <c r="O660" s="10"/>
      <c r="P660" s="10"/>
      <c r="Q660" s="10"/>
      <c r="R660" s="10"/>
      <c r="S660" s="10"/>
      <c r="T660" s="10"/>
      <c r="U660" s="10"/>
    </row>
    <row r="661" spans="1:21" ht="12.75" x14ac:dyDescent="0.2">
      <c r="A661" s="10"/>
      <c r="B661" s="10"/>
      <c r="C661" s="10"/>
      <c r="D661" s="10"/>
      <c r="E661" s="10"/>
      <c r="F661" s="10"/>
      <c r="G661" s="10"/>
      <c r="H661" s="10"/>
      <c r="I661" s="10"/>
      <c r="J661" s="10"/>
      <c r="K661" s="10"/>
      <c r="L661" s="10"/>
      <c r="M661" s="10"/>
      <c r="N661" s="10"/>
      <c r="O661" s="10"/>
      <c r="P661" s="10"/>
      <c r="Q661" s="10"/>
      <c r="R661" s="10"/>
      <c r="S661" s="10"/>
      <c r="T661" s="10"/>
      <c r="U661" s="10"/>
    </row>
    <row r="662" spans="1:21" ht="12.75" x14ac:dyDescent="0.2">
      <c r="A662" s="10"/>
      <c r="B662" s="10"/>
      <c r="C662" s="10"/>
      <c r="D662" s="10"/>
      <c r="E662" s="10"/>
      <c r="F662" s="10"/>
      <c r="G662" s="10"/>
      <c r="H662" s="10"/>
      <c r="I662" s="10"/>
      <c r="J662" s="10"/>
      <c r="K662" s="10"/>
      <c r="L662" s="10"/>
      <c r="M662" s="10"/>
      <c r="N662" s="10"/>
      <c r="O662" s="10"/>
      <c r="P662" s="10"/>
      <c r="Q662" s="10"/>
      <c r="R662" s="10"/>
      <c r="S662" s="10"/>
      <c r="T662" s="10"/>
      <c r="U662" s="10"/>
    </row>
    <row r="663" spans="1:21" ht="12.75" x14ac:dyDescent="0.2">
      <c r="A663" s="10"/>
      <c r="B663" s="10"/>
      <c r="C663" s="10"/>
      <c r="D663" s="10"/>
      <c r="E663" s="10"/>
      <c r="F663" s="10"/>
      <c r="G663" s="10"/>
      <c r="H663" s="10"/>
      <c r="I663" s="10"/>
      <c r="J663" s="10"/>
      <c r="K663" s="10"/>
      <c r="L663" s="10"/>
      <c r="M663" s="10"/>
      <c r="N663" s="10"/>
      <c r="O663" s="10"/>
      <c r="P663" s="10"/>
      <c r="Q663" s="10"/>
      <c r="R663" s="10"/>
      <c r="S663" s="10"/>
      <c r="T663" s="10"/>
      <c r="U663" s="10"/>
    </row>
    <row r="664" spans="1:21" ht="12.75" x14ac:dyDescent="0.2">
      <c r="A664" s="10"/>
      <c r="B664" s="10"/>
      <c r="C664" s="10"/>
      <c r="D664" s="10"/>
      <c r="E664" s="10"/>
      <c r="F664" s="10"/>
      <c r="G664" s="10"/>
      <c r="H664" s="10"/>
      <c r="I664" s="10"/>
      <c r="J664" s="10"/>
      <c r="K664" s="10"/>
      <c r="L664" s="10"/>
      <c r="M664" s="10"/>
      <c r="N664" s="10"/>
      <c r="O664" s="10"/>
      <c r="P664" s="10"/>
      <c r="Q664" s="10"/>
      <c r="R664" s="10"/>
      <c r="S664" s="10"/>
      <c r="T664" s="10"/>
      <c r="U664" s="10"/>
    </row>
    <row r="665" spans="1:21" ht="12.75" x14ac:dyDescent="0.2">
      <c r="A665" s="10"/>
      <c r="B665" s="10"/>
      <c r="C665" s="10"/>
      <c r="D665" s="10"/>
      <c r="E665" s="10"/>
      <c r="F665" s="10"/>
      <c r="G665" s="10"/>
      <c r="H665" s="10"/>
      <c r="I665" s="10"/>
      <c r="J665" s="10"/>
      <c r="K665" s="10"/>
      <c r="L665" s="10"/>
      <c r="M665" s="10"/>
      <c r="N665" s="10"/>
      <c r="O665" s="10"/>
      <c r="P665" s="10"/>
      <c r="Q665" s="10"/>
      <c r="R665" s="10"/>
      <c r="S665" s="10"/>
      <c r="T665" s="10"/>
      <c r="U665" s="10"/>
    </row>
    <row r="666" spans="1:21" ht="12.75" x14ac:dyDescent="0.2">
      <c r="A666" s="10"/>
      <c r="B666" s="10"/>
      <c r="C666" s="10"/>
      <c r="D666" s="10"/>
      <c r="E666" s="10"/>
      <c r="F666" s="10"/>
      <c r="G666" s="10"/>
      <c r="H666" s="10"/>
      <c r="I666" s="10"/>
      <c r="J666" s="10"/>
      <c r="K666" s="10"/>
      <c r="L666" s="10"/>
      <c r="M666" s="10"/>
      <c r="N666" s="10"/>
      <c r="O666" s="10"/>
      <c r="P666" s="10"/>
      <c r="Q666" s="10"/>
      <c r="R666" s="10"/>
      <c r="S666" s="10"/>
      <c r="T666" s="10"/>
      <c r="U666" s="10"/>
    </row>
    <row r="667" spans="1:21" ht="12.75" x14ac:dyDescent="0.2">
      <c r="A667" s="10"/>
      <c r="B667" s="10"/>
      <c r="C667" s="10"/>
      <c r="D667" s="10"/>
      <c r="E667" s="10"/>
      <c r="F667" s="10"/>
      <c r="G667" s="10"/>
      <c r="H667" s="10"/>
      <c r="I667" s="10"/>
      <c r="J667" s="10"/>
      <c r="K667" s="10"/>
      <c r="L667" s="10"/>
      <c r="M667" s="10"/>
      <c r="N667" s="10"/>
      <c r="O667" s="10"/>
      <c r="P667" s="10"/>
      <c r="Q667" s="10"/>
      <c r="R667" s="10"/>
      <c r="S667" s="10"/>
      <c r="T667" s="10"/>
      <c r="U667" s="10"/>
    </row>
    <row r="668" spans="1:21" ht="12.75" x14ac:dyDescent="0.2">
      <c r="A668" s="10"/>
      <c r="B668" s="10"/>
      <c r="C668" s="10"/>
      <c r="D668" s="10"/>
      <c r="E668" s="10"/>
      <c r="F668" s="10"/>
      <c r="G668" s="10"/>
      <c r="H668" s="10"/>
      <c r="I668" s="10"/>
      <c r="J668" s="10"/>
      <c r="K668" s="10"/>
      <c r="L668" s="10"/>
      <c r="M668" s="10"/>
      <c r="N668" s="10"/>
      <c r="O668" s="10"/>
      <c r="P668" s="10"/>
      <c r="Q668" s="10"/>
      <c r="R668" s="10"/>
      <c r="S668" s="10"/>
      <c r="T668" s="10"/>
      <c r="U668" s="10"/>
    </row>
    <row r="669" spans="1:21" ht="12.75" x14ac:dyDescent="0.2">
      <c r="A669" s="10"/>
      <c r="B669" s="10"/>
      <c r="C669" s="10"/>
      <c r="D669" s="10"/>
      <c r="E669" s="10"/>
      <c r="F669" s="10"/>
      <c r="G669" s="10"/>
      <c r="H669" s="10"/>
      <c r="I669" s="10"/>
      <c r="J669" s="10"/>
      <c r="K669" s="10"/>
      <c r="L669" s="10"/>
      <c r="M669" s="10"/>
      <c r="N669" s="10"/>
      <c r="O669" s="10"/>
      <c r="P669" s="10"/>
      <c r="Q669" s="10"/>
      <c r="R669" s="10"/>
      <c r="S669" s="10"/>
      <c r="T669" s="10"/>
      <c r="U669" s="10"/>
    </row>
    <row r="670" spans="1:21" ht="12.75" x14ac:dyDescent="0.2">
      <c r="A670" s="10"/>
      <c r="B670" s="10"/>
      <c r="C670" s="10"/>
      <c r="D670" s="10"/>
      <c r="E670" s="10"/>
      <c r="F670" s="10"/>
      <c r="G670" s="10"/>
      <c r="H670" s="10"/>
      <c r="I670" s="10"/>
      <c r="J670" s="10"/>
      <c r="K670" s="10"/>
      <c r="L670" s="10"/>
      <c r="M670" s="10"/>
      <c r="N670" s="10"/>
      <c r="O670" s="10"/>
      <c r="P670" s="10"/>
      <c r="Q670" s="10"/>
      <c r="R670" s="10"/>
      <c r="S670" s="10"/>
      <c r="T670" s="10"/>
      <c r="U670" s="10"/>
    </row>
    <row r="671" spans="1:21" ht="12.75" x14ac:dyDescent="0.2">
      <c r="A671" s="10"/>
      <c r="B671" s="10"/>
      <c r="C671" s="10"/>
      <c r="D671" s="10"/>
      <c r="E671" s="10"/>
      <c r="F671" s="10"/>
      <c r="G671" s="10"/>
      <c r="H671" s="10"/>
      <c r="I671" s="10"/>
      <c r="J671" s="10"/>
      <c r="K671" s="10"/>
      <c r="L671" s="10"/>
      <c r="M671" s="10"/>
      <c r="N671" s="10"/>
      <c r="O671" s="10"/>
      <c r="P671" s="10"/>
      <c r="Q671" s="10"/>
      <c r="R671" s="10"/>
      <c r="S671" s="10"/>
      <c r="T671" s="10"/>
      <c r="U671" s="10"/>
    </row>
    <row r="672" spans="1:21" ht="12.75" x14ac:dyDescent="0.2">
      <c r="A672" s="10"/>
      <c r="B672" s="10"/>
      <c r="C672" s="10"/>
      <c r="D672" s="10"/>
      <c r="E672" s="10"/>
      <c r="F672" s="10"/>
      <c r="G672" s="10"/>
      <c r="H672" s="10"/>
      <c r="I672" s="10"/>
      <c r="J672" s="10"/>
      <c r="K672" s="10"/>
      <c r="L672" s="10"/>
      <c r="M672" s="10"/>
      <c r="N672" s="10"/>
      <c r="O672" s="10"/>
      <c r="P672" s="10"/>
      <c r="Q672" s="10"/>
      <c r="R672" s="10"/>
      <c r="S672" s="10"/>
      <c r="T672" s="10"/>
      <c r="U672" s="10"/>
    </row>
    <row r="673" spans="1:21" ht="12.75" x14ac:dyDescent="0.2">
      <c r="A673" s="10"/>
      <c r="B673" s="10"/>
      <c r="C673" s="10"/>
      <c r="D673" s="10"/>
      <c r="E673" s="10"/>
      <c r="F673" s="10"/>
      <c r="G673" s="10"/>
      <c r="H673" s="10"/>
      <c r="I673" s="10"/>
      <c r="J673" s="10"/>
      <c r="K673" s="10"/>
      <c r="L673" s="10"/>
      <c r="M673" s="10"/>
      <c r="N673" s="10"/>
      <c r="O673" s="10"/>
      <c r="P673" s="10"/>
      <c r="Q673" s="10"/>
      <c r="R673" s="10"/>
      <c r="S673" s="10"/>
      <c r="T673" s="10"/>
      <c r="U673" s="10"/>
    </row>
    <row r="674" spans="1:21" ht="12.75" x14ac:dyDescent="0.2">
      <c r="A674" s="10"/>
      <c r="B674" s="10"/>
      <c r="C674" s="10"/>
      <c r="D674" s="10"/>
      <c r="E674" s="10"/>
      <c r="F674" s="10"/>
      <c r="G674" s="10"/>
      <c r="H674" s="10"/>
      <c r="I674" s="10"/>
      <c r="J674" s="10"/>
      <c r="K674" s="10"/>
      <c r="L674" s="10"/>
      <c r="M674" s="10"/>
      <c r="N674" s="10"/>
      <c r="O674" s="10"/>
      <c r="P674" s="10"/>
      <c r="Q674" s="10"/>
      <c r="R674" s="10"/>
      <c r="S674" s="10"/>
      <c r="T674" s="10"/>
      <c r="U674" s="10"/>
    </row>
    <row r="675" spans="1:21" ht="12.75" x14ac:dyDescent="0.2">
      <c r="A675" s="10"/>
      <c r="B675" s="10"/>
      <c r="C675" s="10"/>
      <c r="D675" s="10"/>
      <c r="E675" s="10"/>
      <c r="F675" s="10"/>
      <c r="G675" s="10"/>
      <c r="H675" s="10"/>
      <c r="I675" s="10"/>
      <c r="J675" s="10"/>
      <c r="K675" s="10"/>
      <c r="L675" s="10"/>
      <c r="M675" s="10"/>
      <c r="N675" s="10"/>
      <c r="O675" s="10"/>
      <c r="P675" s="10"/>
      <c r="Q675" s="10"/>
      <c r="R675" s="10"/>
      <c r="S675" s="10"/>
      <c r="T675" s="10"/>
      <c r="U675" s="10"/>
    </row>
    <row r="676" spans="1:21" ht="12.75" x14ac:dyDescent="0.2">
      <c r="A676" s="10"/>
      <c r="B676" s="10"/>
      <c r="C676" s="10"/>
      <c r="D676" s="10"/>
      <c r="E676" s="10"/>
      <c r="F676" s="10"/>
      <c r="G676" s="10"/>
      <c r="H676" s="10"/>
      <c r="I676" s="10"/>
      <c r="J676" s="10"/>
      <c r="K676" s="10"/>
      <c r="L676" s="10"/>
      <c r="M676" s="10"/>
      <c r="N676" s="10"/>
      <c r="O676" s="10"/>
      <c r="P676" s="10"/>
      <c r="Q676" s="10"/>
      <c r="R676" s="10"/>
      <c r="S676" s="10"/>
      <c r="T676" s="10"/>
      <c r="U676" s="10"/>
    </row>
    <row r="677" spans="1:21" ht="12.75" x14ac:dyDescent="0.2">
      <c r="A677" s="10"/>
      <c r="B677" s="10"/>
      <c r="C677" s="10"/>
      <c r="D677" s="10"/>
      <c r="E677" s="10"/>
      <c r="F677" s="10"/>
      <c r="G677" s="10"/>
      <c r="H677" s="10"/>
      <c r="I677" s="10"/>
      <c r="J677" s="10"/>
      <c r="K677" s="10"/>
      <c r="L677" s="10"/>
      <c r="M677" s="10"/>
      <c r="N677" s="10"/>
      <c r="O677" s="10"/>
      <c r="P677" s="10"/>
      <c r="Q677" s="10"/>
      <c r="R677" s="10"/>
      <c r="S677" s="10"/>
      <c r="T677" s="10"/>
      <c r="U677" s="10"/>
    </row>
    <row r="678" spans="1:21" ht="12.75" x14ac:dyDescent="0.2">
      <c r="A678" s="10"/>
      <c r="B678" s="10"/>
      <c r="C678" s="10"/>
      <c r="D678" s="10"/>
      <c r="E678" s="10"/>
      <c r="F678" s="10"/>
      <c r="G678" s="10"/>
      <c r="H678" s="10"/>
      <c r="I678" s="10"/>
      <c r="J678" s="10"/>
      <c r="K678" s="10"/>
      <c r="L678" s="10"/>
      <c r="M678" s="10"/>
      <c r="N678" s="10"/>
      <c r="O678" s="10"/>
      <c r="P678" s="10"/>
      <c r="Q678" s="10"/>
      <c r="R678" s="10"/>
      <c r="S678" s="10"/>
      <c r="T678" s="10"/>
      <c r="U678" s="10"/>
    </row>
    <row r="679" spans="1:21" ht="12.75" x14ac:dyDescent="0.2">
      <c r="A679" s="10"/>
      <c r="B679" s="10"/>
      <c r="C679" s="10"/>
      <c r="D679" s="10"/>
      <c r="E679" s="10"/>
      <c r="F679" s="10"/>
      <c r="G679" s="10"/>
      <c r="H679" s="10"/>
      <c r="I679" s="10"/>
      <c r="J679" s="10"/>
      <c r="K679" s="10"/>
      <c r="L679" s="10"/>
      <c r="M679" s="10"/>
      <c r="N679" s="10"/>
      <c r="O679" s="10"/>
      <c r="P679" s="10"/>
      <c r="Q679" s="10"/>
      <c r="R679" s="10"/>
      <c r="S679" s="10"/>
      <c r="T679" s="10"/>
      <c r="U679" s="10"/>
    </row>
    <row r="680" spans="1:21" ht="12.75" x14ac:dyDescent="0.2">
      <c r="A680" s="10"/>
      <c r="B680" s="10"/>
      <c r="C680" s="10"/>
      <c r="D680" s="10"/>
      <c r="E680" s="10"/>
      <c r="F680" s="10"/>
      <c r="G680" s="10"/>
      <c r="H680" s="10"/>
      <c r="I680" s="10"/>
      <c r="J680" s="10"/>
      <c r="K680" s="10"/>
      <c r="L680" s="10"/>
      <c r="M680" s="10"/>
      <c r="N680" s="10"/>
      <c r="O680" s="10"/>
      <c r="P680" s="10"/>
      <c r="Q680" s="10"/>
      <c r="R680" s="10"/>
      <c r="S680" s="10"/>
      <c r="T680" s="10"/>
      <c r="U680" s="10"/>
    </row>
    <row r="681" spans="1:21" ht="12.75" x14ac:dyDescent="0.2">
      <c r="A681" s="10"/>
      <c r="B681" s="10"/>
      <c r="C681" s="10"/>
      <c r="D681" s="10"/>
      <c r="E681" s="10"/>
      <c r="F681" s="10"/>
      <c r="G681" s="10"/>
      <c r="H681" s="10"/>
      <c r="I681" s="10"/>
      <c r="J681" s="10"/>
      <c r="K681" s="10"/>
      <c r="L681" s="10"/>
      <c r="M681" s="10"/>
      <c r="N681" s="10"/>
      <c r="O681" s="10"/>
      <c r="P681" s="10"/>
      <c r="Q681" s="10"/>
      <c r="R681" s="10"/>
      <c r="S681" s="10"/>
      <c r="T681" s="10"/>
      <c r="U681" s="10"/>
    </row>
    <row r="682" spans="1:21" ht="12.75" x14ac:dyDescent="0.2">
      <c r="A682" s="10"/>
      <c r="B682" s="10"/>
      <c r="C682" s="10"/>
      <c r="D682" s="10"/>
      <c r="E682" s="10"/>
      <c r="F682" s="10"/>
      <c r="G682" s="10"/>
      <c r="H682" s="10"/>
      <c r="I682" s="10"/>
      <c r="J682" s="10"/>
      <c r="K682" s="10"/>
      <c r="L682" s="10"/>
      <c r="M682" s="10"/>
      <c r="N682" s="10"/>
      <c r="O682" s="10"/>
      <c r="P682" s="10"/>
      <c r="Q682" s="10"/>
      <c r="R682" s="10"/>
      <c r="S682" s="10"/>
      <c r="T682" s="10"/>
      <c r="U682" s="10"/>
    </row>
    <row r="683" spans="1:21" ht="12.75" x14ac:dyDescent="0.2">
      <c r="A683" s="10"/>
      <c r="B683" s="10"/>
      <c r="C683" s="10"/>
      <c r="D683" s="10"/>
      <c r="E683" s="10"/>
      <c r="F683" s="10"/>
      <c r="G683" s="10"/>
      <c r="H683" s="10"/>
      <c r="I683" s="10"/>
      <c r="J683" s="10"/>
      <c r="K683" s="10"/>
      <c r="L683" s="10"/>
      <c r="M683" s="10"/>
      <c r="N683" s="10"/>
      <c r="O683" s="10"/>
      <c r="P683" s="10"/>
      <c r="Q683" s="10"/>
      <c r="R683" s="10"/>
      <c r="S683" s="10"/>
      <c r="T683" s="10"/>
      <c r="U683" s="10"/>
    </row>
    <row r="684" spans="1:21" ht="12.75" x14ac:dyDescent="0.2">
      <c r="A684" s="10"/>
      <c r="B684" s="10"/>
      <c r="C684" s="10"/>
      <c r="D684" s="10"/>
      <c r="E684" s="10"/>
      <c r="F684" s="10"/>
      <c r="G684" s="10"/>
      <c r="H684" s="10"/>
      <c r="I684" s="10"/>
      <c r="J684" s="10"/>
      <c r="K684" s="10"/>
      <c r="L684" s="10"/>
      <c r="M684" s="10"/>
      <c r="N684" s="10"/>
      <c r="O684" s="10"/>
      <c r="P684" s="10"/>
      <c r="Q684" s="10"/>
      <c r="R684" s="10"/>
      <c r="S684" s="10"/>
      <c r="T684" s="10"/>
      <c r="U684" s="10"/>
    </row>
    <row r="685" spans="1:21" ht="12.75" x14ac:dyDescent="0.2">
      <c r="A685" s="10"/>
      <c r="B685" s="10"/>
      <c r="C685" s="10"/>
      <c r="D685" s="10"/>
      <c r="E685" s="10"/>
      <c r="F685" s="10"/>
      <c r="G685" s="10"/>
      <c r="H685" s="10"/>
      <c r="I685" s="10"/>
      <c r="J685" s="10"/>
      <c r="K685" s="10"/>
      <c r="L685" s="10"/>
      <c r="M685" s="10"/>
      <c r="N685" s="10"/>
      <c r="O685" s="10"/>
      <c r="P685" s="10"/>
      <c r="Q685" s="10"/>
      <c r="R685" s="10"/>
      <c r="S685" s="10"/>
      <c r="T685" s="10"/>
      <c r="U685" s="10"/>
    </row>
    <row r="686" spans="1:21" ht="12.75" x14ac:dyDescent="0.2">
      <c r="A686" s="10"/>
      <c r="B686" s="10"/>
      <c r="C686" s="10"/>
      <c r="D686" s="10"/>
      <c r="E686" s="10"/>
      <c r="F686" s="10"/>
      <c r="G686" s="10"/>
      <c r="H686" s="10"/>
      <c r="I686" s="10"/>
      <c r="J686" s="10"/>
      <c r="K686" s="10"/>
      <c r="L686" s="10"/>
      <c r="M686" s="10"/>
      <c r="N686" s="10"/>
      <c r="O686" s="10"/>
      <c r="P686" s="10"/>
      <c r="Q686" s="10"/>
      <c r="R686" s="10"/>
      <c r="S686" s="10"/>
      <c r="T686" s="10"/>
      <c r="U686" s="10"/>
    </row>
    <row r="687" spans="1:21" ht="12.75" x14ac:dyDescent="0.2">
      <c r="A687" s="10"/>
      <c r="B687" s="10"/>
      <c r="C687" s="10"/>
      <c r="D687" s="10"/>
      <c r="E687" s="10"/>
      <c r="F687" s="10"/>
      <c r="G687" s="10"/>
      <c r="H687" s="10"/>
      <c r="I687" s="10"/>
      <c r="J687" s="10"/>
      <c r="K687" s="10"/>
      <c r="L687" s="10"/>
      <c r="M687" s="10"/>
      <c r="N687" s="10"/>
      <c r="O687" s="10"/>
      <c r="P687" s="10"/>
      <c r="Q687" s="10"/>
      <c r="R687" s="10"/>
      <c r="S687" s="10"/>
      <c r="T687" s="10"/>
      <c r="U687" s="10"/>
    </row>
    <row r="688" spans="1:21" ht="12.75" x14ac:dyDescent="0.2">
      <c r="A688" s="10"/>
      <c r="B688" s="10"/>
      <c r="C688" s="10"/>
      <c r="D688" s="10"/>
      <c r="E688" s="10"/>
      <c r="F688" s="10"/>
      <c r="G688" s="10"/>
      <c r="H688" s="10"/>
      <c r="I688" s="10"/>
      <c r="J688" s="10"/>
      <c r="K688" s="10"/>
      <c r="L688" s="10"/>
      <c r="M688" s="10"/>
      <c r="N688" s="10"/>
      <c r="O688" s="10"/>
      <c r="P688" s="10"/>
      <c r="Q688" s="10"/>
      <c r="R688" s="10"/>
      <c r="S688" s="10"/>
      <c r="T688" s="10"/>
      <c r="U688" s="10"/>
    </row>
    <row r="689" spans="1:21" ht="12.75" x14ac:dyDescent="0.2">
      <c r="A689" s="10"/>
      <c r="B689" s="10"/>
      <c r="C689" s="10"/>
      <c r="D689" s="10"/>
      <c r="E689" s="10"/>
      <c r="F689" s="10"/>
      <c r="G689" s="10"/>
      <c r="H689" s="10"/>
      <c r="I689" s="10"/>
      <c r="J689" s="10"/>
      <c r="K689" s="10"/>
      <c r="L689" s="10"/>
      <c r="M689" s="10"/>
      <c r="N689" s="10"/>
      <c r="O689" s="10"/>
      <c r="P689" s="10"/>
      <c r="Q689" s="10"/>
      <c r="R689" s="10"/>
      <c r="S689" s="10"/>
      <c r="T689" s="10"/>
      <c r="U689" s="10"/>
    </row>
    <row r="690" spans="1:21" ht="12.75" x14ac:dyDescent="0.2">
      <c r="A690" s="10"/>
      <c r="B690" s="10"/>
      <c r="C690" s="10"/>
      <c r="D690" s="10"/>
      <c r="E690" s="10"/>
      <c r="F690" s="10"/>
      <c r="G690" s="10"/>
      <c r="H690" s="10"/>
      <c r="I690" s="10"/>
      <c r="J690" s="10"/>
      <c r="K690" s="10"/>
      <c r="L690" s="10"/>
      <c r="M690" s="10"/>
      <c r="N690" s="10"/>
      <c r="O690" s="10"/>
      <c r="P690" s="10"/>
      <c r="Q690" s="10"/>
      <c r="R690" s="10"/>
      <c r="S690" s="10"/>
      <c r="T690" s="10"/>
      <c r="U690" s="10"/>
    </row>
    <row r="691" spans="1:21" ht="12.75" x14ac:dyDescent="0.2">
      <c r="A691" s="10"/>
      <c r="B691" s="10"/>
      <c r="C691" s="10"/>
      <c r="D691" s="10"/>
      <c r="E691" s="10"/>
      <c r="F691" s="10"/>
      <c r="G691" s="10"/>
      <c r="H691" s="10"/>
      <c r="I691" s="10"/>
      <c r="J691" s="10"/>
      <c r="K691" s="10"/>
      <c r="L691" s="10"/>
      <c r="M691" s="10"/>
      <c r="N691" s="10"/>
      <c r="O691" s="10"/>
      <c r="P691" s="10"/>
      <c r="Q691" s="10"/>
      <c r="R691" s="10"/>
      <c r="S691" s="10"/>
      <c r="T691" s="10"/>
      <c r="U691" s="10"/>
    </row>
    <row r="692" spans="1:21" ht="12.75" x14ac:dyDescent="0.2">
      <c r="A692" s="10"/>
      <c r="B692" s="10"/>
      <c r="C692" s="10"/>
      <c r="D692" s="10"/>
      <c r="E692" s="10"/>
      <c r="F692" s="10"/>
      <c r="G692" s="10"/>
      <c r="H692" s="10"/>
      <c r="I692" s="10"/>
      <c r="J692" s="10"/>
      <c r="K692" s="10"/>
      <c r="L692" s="10"/>
      <c r="M692" s="10"/>
      <c r="N692" s="10"/>
      <c r="O692" s="10"/>
      <c r="P692" s="10"/>
      <c r="Q692" s="10"/>
      <c r="R692" s="10"/>
      <c r="S692" s="10"/>
      <c r="T692" s="10"/>
      <c r="U692" s="10"/>
    </row>
    <row r="693" spans="1:21" ht="12.75" x14ac:dyDescent="0.2">
      <c r="A693" s="10"/>
      <c r="B693" s="10"/>
      <c r="C693" s="10"/>
      <c r="D693" s="10"/>
      <c r="E693" s="10"/>
      <c r="F693" s="10"/>
      <c r="G693" s="10"/>
      <c r="H693" s="10"/>
      <c r="I693" s="10"/>
      <c r="J693" s="10"/>
      <c r="K693" s="10"/>
      <c r="L693" s="10"/>
      <c r="M693" s="10"/>
      <c r="N693" s="10"/>
      <c r="O693" s="10"/>
      <c r="P693" s="10"/>
      <c r="Q693" s="10"/>
      <c r="R693" s="10"/>
      <c r="S693" s="10"/>
      <c r="T693" s="10"/>
      <c r="U693" s="10"/>
    </row>
    <row r="694" spans="1:21" ht="12.75" x14ac:dyDescent="0.2">
      <c r="A694" s="10"/>
      <c r="B694" s="10"/>
      <c r="C694" s="10"/>
      <c r="D694" s="10"/>
      <c r="E694" s="10"/>
      <c r="F694" s="10"/>
      <c r="G694" s="10"/>
      <c r="H694" s="10"/>
      <c r="I694" s="10"/>
      <c r="J694" s="10"/>
      <c r="K694" s="10"/>
      <c r="L694" s="10"/>
      <c r="M694" s="10"/>
      <c r="N694" s="10"/>
      <c r="O694" s="10"/>
      <c r="P694" s="10"/>
      <c r="Q694" s="10"/>
      <c r="R694" s="10"/>
      <c r="S694" s="10"/>
      <c r="T694" s="10"/>
      <c r="U694" s="10"/>
    </row>
    <row r="695" spans="1:21" ht="12.75" x14ac:dyDescent="0.2">
      <c r="A695" s="10"/>
      <c r="B695" s="10"/>
      <c r="C695" s="10"/>
      <c r="D695" s="10"/>
      <c r="E695" s="10"/>
      <c r="F695" s="10"/>
      <c r="G695" s="10"/>
      <c r="H695" s="10"/>
      <c r="I695" s="10"/>
      <c r="J695" s="10"/>
      <c r="K695" s="10"/>
      <c r="L695" s="10"/>
      <c r="M695" s="10"/>
      <c r="N695" s="10"/>
      <c r="O695" s="10"/>
      <c r="P695" s="10"/>
      <c r="Q695" s="10"/>
      <c r="R695" s="10"/>
      <c r="S695" s="10"/>
      <c r="T695" s="10"/>
      <c r="U695" s="10"/>
    </row>
    <row r="696" spans="1:21" ht="12.75" x14ac:dyDescent="0.2">
      <c r="A696" s="10"/>
      <c r="B696" s="10"/>
      <c r="C696" s="10"/>
      <c r="D696" s="10"/>
      <c r="E696" s="10"/>
      <c r="F696" s="10"/>
      <c r="G696" s="10"/>
      <c r="H696" s="10"/>
      <c r="I696" s="10"/>
      <c r="J696" s="10"/>
      <c r="K696" s="10"/>
      <c r="L696" s="10"/>
      <c r="M696" s="10"/>
      <c r="N696" s="10"/>
      <c r="O696" s="10"/>
      <c r="P696" s="10"/>
      <c r="Q696" s="10"/>
      <c r="R696" s="10"/>
      <c r="S696" s="10"/>
      <c r="T696" s="10"/>
      <c r="U696" s="10"/>
    </row>
    <row r="697" spans="1:21" ht="12.75" x14ac:dyDescent="0.2">
      <c r="A697" s="10"/>
      <c r="B697" s="10"/>
      <c r="C697" s="10"/>
      <c r="D697" s="10"/>
      <c r="E697" s="10"/>
      <c r="F697" s="10"/>
      <c r="G697" s="10"/>
      <c r="H697" s="10"/>
      <c r="I697" s="10"/>
      <c r="J697" s="10"/>
      <c r="K697" s="10"/>
      <c r="L697" s="10"/>
      <c r="M697" s="10"/>
      <c r="N697" s="10"/>
      <c r="O697" s="10"/>
      <c r="P697" s="10"/>
      <c r="Q697" s="10"/>
      <c r="R697" s="10"/>
      <c r="S697" s="10"/>
      <c r="T697" s="10"/>
      <c r="U697" s="10"/>
    </row>
    <row r="698" spans="1:21" ht="12.75" x14ac:dyDescent="0.2">
      <c r="A698" s="10"/>
      <c r="B698" s="10"/>
      <c r="C698" s="10"/>
      <c r="D698" s="10"/>
      <c r="E698" s="10"/>
      <c r="F698" s="10"/>
      <c r="G698" s="10"/>
      <c r="H698" s="10"/>
      <c r="I698" s="10"/>
      <c r="J698" s="10"/>
      <c r="K698" s="10"/>
      <c r="L698" s="10"/>
      <c r="M698" s="10"/>
      <c r="N698" s="10"/>
      <c r="O698" s="10"/>
      <c r="P698" s="10"/>
      <c r="Q698" s="10"/>
      <c r="R698" s="10"/>
      <c r="S698" s="10"/>
      <c r="T698" s="10"/>
      <c r="U698" s="10"/>
    </row>
    <row r="699" spans="1:21" ht="12.75" x14ac:dyDescent="0.2">
      <c r="A699" s="10"/>
      <c r="B699" s="10"/>
      <c r="C699" s="10"/>
      <c r="D699" s="10"/>
      <c r="E699" s="10"/>
      <c r="F699" s="10"/>
      <c r="G699" s="10"/>
      <c r="H699" s="10"/>
      <c r="I699" s="10"/>
      <c r="J699" s="10"/>
      <c r="K699" s="10"/>
      <c r="L699" s="10"/>
      <c r="M699" s="10"/>
      <c r="N699" s="10"/>
      <c r="O699" s="10"/>
      <c r="P699" s="10"/>
      <c r="Q699" s="10"/>
      <c r="R699" s="10"/>
      <c r="S699" s="10"/>
      <c r="T699" s="10"/>
      <c r="U699" s="10"/>
    </row>
    <row r="700" spans="1:21" ht="12.75" x14ac:dyDescent="0.2">
      <c r="A700" s="10"/>
      <c r="B700" s="10"/>
      <c r="C700" s="10"/>
      <c r="D700" s="10"/>
      <c r="E700" s="10"/>
      <c r="F700" s="10"/>
      <c r="G700" s="10"/>
      <c r="H700" s="10"/>
      <c r="I700" s="10"/>
      <c r="J700" s="10"/>
      <c r="K700" s="10"/>
      <c r="L700" s="10"/>
      <c r="M700" s="10"/>
      <c r="N700" s="10"/>
      <c r="O700" s="10"/>
      <c r="P700" s="10"/>
      <c r="Q700" s="10"/>
      <c r="R700" s="10"/>
      <c r="S700" s="10"/>
      <c r="T700" s="10"/>
      <c r="U700" s="10"/>
    </row>
    <row r="701" spans="1:21" ht="12.75" x14ac:dyDescent="0.2">
      <c r="A701" s="10"/>
      <c r="B701" s="10"/>
      <c r="C701" s="10"/>
      <c r="D701" s="10"/>
      <c r="E701" s="10"/>
      <c r="F701" s="10"/>
      <c r="G701" s="10"/>
      <c r="H701" s="10"/>
      <c r="I701" s="10"/>
      <c r="J701" s="10"/>
      <c r="K701" s="10"/>
      <c r="L701" s="10"/>
      <c r="M701" s="10"/>
      <c r="N701" s="10"/>
      <c r="O701" s="10"/>
      <c r="P701" s="10"/>
      <c r="Q701" s="10"/>
      <c r="R701" s="10"/>
      <c r="S701" s="10"/>
      <c r="T701" s="10"/>
      <c r="U701" s="10"/>
    </row>
    <row r="702" spans="1:21" ht="12.75" x14ac:dyDescent="0.2">
      <c r="A702" s="10"/>
      <c r="B702" s="10"/>
      <c r="C702" s="10"/>
      <c r="D702" s="10"/>
      <c r="E702" s="10"/>
      <c r="F702" s="10"/>
      <c r="G702" s="10"/>
      <c r="H702" s="10"/>
      <c r="I702" s="10"/>
      <c r="J702" s="10"/>
      <c r="K702" s="10"/>
      <c r="L702" s="10"/>
      <c r="M702" s="10"/>
      <c r="N702" s="10"/>
      <c r="O702" s="10"/>
      <c r="P702" s="10"/>
      <c r="Q702" s="10"/>
      <c r="R702" s="10"/>
      <c r="S702" s="10"/>
      <c r="T702" s="10"/>
      <c r="U702" s="10"/>
    </row>
    <row r="703" spans="1:21" ht="12.75" x14ac:dyDescent="0.2">
      <c r="A703" s="10"/>
      <c r="B703" s="10"/>
      <c r="C703" s="10"/>
      <c r="D703" s="10"/>
      <c r="E703" s="10"/>
      <c r="F703" s="10"/>
      <c r="G703" s="10"/>
      <c r="H703" s="10"/>
      <c r="I703" s="10"/>
      <c r="J703" s="10"/>
      <c r="K703" s="10"/>
      <c r="L703" s="10"/>
      <c r="M703" s="10"/>
      <c r="N703" s="10"/>
      <c r="O703" s="10"/>
      <c r="P703" s="10"/>
      <c r="Q703" s="10"/>
      <c r="R703" s="10"/>
      <c r="S703" s="10"/>
      <c r="T703" s="10"/>
      <c r="U703" s="10"/>
    </row>
    <row r="704" spans="1:21" ht="12.75" x14ac:dyDescent="0.2">
      <c r="A704" s="10"/>
      <c r="B704" s="10"/>
      <c r="C704" s="10"/>
      <c r="D704" s="10"/>
      <c r="E704" s="10"/>
      <c r="F704" s="10"/>
      <c r="G704" s="10"/>
      <c r="H704" s="10"/>
      <c r="I704" s="10"/>
      <c r="J704" s="10"/>
      <c r="K704" s="10"/>
      <c r="L704" s="10"/>
      <c r="M704" s="10"/>
      <c r="N704" s="10"/>
      <c r="O704" s="10"/>
      <c r="P704" s="10"/>
      <c r="Q704" s="10"/>
      <c r="R704" s="10"/>
      <c r="S704" s="10"/>
      <c r="T704" s="10"/>
      <c r="U704" s="10"/>
    </row>
    <row r="705" spans="1:21" ht="12.75" x14ac:dyDescent="0.2">
      <c r="A705" s="10"/>
      <c r="B705" s="10"/>
      <c r="C705" s="10"/>
      <c r="D705" s="10"/>
      <c r="E705" s="10"/>
      <c r="F705" s="10"/>
      <c r="G705" s="10"/>
      <c r="H705" s="10"/>
      <c r="I705" s="10"/>
      <c r="J705" s="10"/>
      <c r="K705" s="10"/>
      <c r="L705" s="10"/>
      <c r="M705" s="10"/>
      <c r="N705" s="10"/>
      <c r="O705" s="10"/>
      <c r="P705" s="10"/>
      <c r="Q705" s="10"/>
      <c r="R705" s="10"/>
      <c r="S705" s="10"/>
      <c r="T705" s="10"/>
      <c r="U705" s="10"/>
    </row>
    <row r="706" spans="1:21" ht="12.75" x14ac:dyDescent="0.2">
      <c r="A706" s="10"/>
      <c r="B706" s="10"/>
      <c r="C706" s="10"/>
      <c r="D706" s="10"/>
      <c r="E706" s="10"/>
      <c r="F706" s="10"/>
      <c r="G706" s="10"/>
      <c r="H706" s="10"/>
      <c r="I706" s="10"/>
      <c r="J706" s="10"/>
      <c r="K706" s="10"/>
      <c r="L706" s="10"/>
      <c r="M706" s="10"/>
      <c r="N706" s="10"/>
      <c r="O706" s="10"/>
      <c r="P706" s="10"/>
      <c r="Q706" s="10"/>
      <c r="R706" s="10"/>
      <c r="S706" s="10"/>
      <c r="T706" s="10"/>
      <c r="U706" s="10"/>
    </row>
    <row r="707" spans="1:21" ht="12.75" x14ac:dyDescent="0.2">
      <c r="A707" s="10"/>
      <c r="B707" s="10"/>
      <c r="C707" s="10"/>
      <c r="D707" s="10"/>
      <c r="E707" s="10"/>
      <c r="F707" s="10"/>
      <c r="G707" s="10"/>
      <c r="H707" s="10"/>
      <c r="I707" s="10"/>
      <c r="J707" s="10"/>
      <c r="K707" s="10"/>
      <c r="L707" s="10"/>
      <c r="M707" s="10"/>
      <c r="N707" s="10"/>
      <c r="O707" s="10"/>
      <c r="P707" s="10"/>
      <c r="Q707" s="10"/>
      <c r="R707" s="10"/>
      <c r="S707" s="10"/>
      <c r="T707" s="10"/>
      <c r="U707" s="10"/>
    </row>
    <row r="708" spans="1:21" ht="12.75" x14ac:dyDescent="0.2">
      <c r="A708" s="10"/>
      <c r="B708" s="10"/>
      <c r="C708" s="10"/>
      <c r="D708" s="10"/>
      <c r="E708" s="10"/>
      <c r="F708" s="10"/>
      <c r="G708" s="10"/>
      <c r="H708" s="10"/>
      <c r="I708" s="10"/>
      <c r="J708" s="10"/>
      <c r="K708" s="10"/>
      <c r="L708" s="10"/>
      <c r="M708" s="10"/>
      <c r="N708" s="10"/>
      <c r="O708" s="10"/>
      <c r="P708" s="10"/>
      <c r="Q708" s="10"/>
      <c r="R708" s="10"/>
      <c r="S708" s="10"/>
      <c r="T708" s="10"/>
      <c r="U708" s="10"/>
    </row>
    <row r="709" spans="1:21" ht="12.75" x14ac:dyDescent="0.2">
      <c r="A709" s="10"/>
      <c r="B709" s="10"/>
      <c r="C709" s="10"/>
      <c r="D709" s="10"/>
      <c r="E709" s="10"/>
      <c r="F709" s="10"/>
      <c r="G709" s="10"/>
      <c r="H709" s="10"/>
      <c r="I709" s="10"/>
      <c r="J709" s="10"/>
      <c r="K709" s="10"/>
      <c r="L709" s="10"/>
      <c r="M709" s="10"/>
      <c r="N709" s="10"/>
      <c r="O709" s="10"/>
      <c r="P709" s="10"/>
      <c r="Q709" s="10"/>
      <c r="R709" s="10"/>
      <c r="S709" s="10"/>
      <c r="T709" s="10"/>
      <c r="U709" s="10"/>
    </row>
    <row r="710" spans="1:21" ht="12.75" x14ac:dyDescent="0.2">
      <c r="A710" s="10"/>
      <c r="B710" s="10"/>
      <c r="C710" s="10"/>
      <c r="D710" s="10"/>
      <c r="E710" s="10"/>
      <c r="F710" s="10"/>
      <c r="G710" s="10"/>
      <c r="H710" s="10"/>
      <c r="I710" s="10"/>
      <c r="J710" s="10"/>
      <c r="K710" s="10"/>
      <c r="L710" s="10"/>
      <c r="M710" s="10"/>
      <c r="N710" s="10"/>
      <c r="O710" s="10"/>
      <c r="P710" s="10"/>
      <c r="Q710" s="10"/>
      <c r="R710" s="10"/>
      <c r="S710" s="10"/>
      <c r="T710" s="10"/>
      <c r="U710" s="10"/>
    </row>
    <row r="711" spans="1:21" ht="12.75" x14ac:dyDescent="0.2">
      <c r="A711" s="10"/>
      <c r="B711" s="10"/>
      <c r="C711" s="10"/>
      <c r="D711" s="10"/>
      <c r="E711" s="10"/>
      <c r="F711" s="10"/>
      <c r="G711" s="10"/>
      <c r="H711" s="10"/>
      <c r="I711" s="10"/>
      <c r="J711" s="10"/>
      <c r="K711" s="10"/>
      <c r="L711" s="10"/>
      <c r="M711" s="10"/>
      <c r="N711" s="10"/>
      <c r="O711" s="10"/>
      <c r="P711" s="10"/>
      <c r="Q711" s="10"/>
      <c r="R711" s="10"/>
      <c r="S711" s="10"/>
      <c r="T711" s="10"/>
      <c r="U711" s="10"/>
    </row>
    <row r="712" spans="1:21" ht="12.75" x14ac:dyDescent="0.2">
      <c r="A712" s="10"/>
      <c r="B712" s="10"/>
      <c r="C712" s="10"/>
      <c r="D712" s="10"/>
      <c r="E712" s="10"/>
      <c r="F712" s="10"/>
      <c r="G712" s="10"/>
      <c r="H712" s="10"/>
      <c r="I712" s="10"/>
      <c r="J712" s="10"/>
      <c r="K712" s="10"/>
      <c r="L712" s="10"/>
      <c r="M712" s="10"/>
      <c r="N712" s="10"/>
      <c r="O712" s="10"/>
      <c r="P712" s="10"/>
      <c r="Q712" s="10"/>
      <c r="R712" s="10"/>
      <c r="S712" s="10"/>
      <c r="T712" s="10"/>
      <c r="U712" s="10"/>
    </row>
    <row r="713" spans="1:21" ht="12.75" x14ac:dyDescent="0.2">
      <c r="A713" s="10"/>
      <c r="B713" s="10"/>
      <c r="C713" s="10"/>
      <c r="D713" s="10"/>
      <c r="E713" s="10"/>
      <c r="F713" s="10"/>
      <c r="G713" s="10"/>
      <c r="H713" s="10"/>
      <c r="I713" s="10"/>
      <c r="J713" s="10"/>
      <c r="K713" s="10"/>
      <c r="L713" s="10"/>
      <c r="M713" s="10"/>
      <c r="N713" s="10"/>
      <c r="O713" s="10"/>
      <c r="P713" s="10"/>
      <c r="Q713" s="10"/>
      <c r="R713" s="10"/>
      <c r="S713" s="10"/>
      <c r="T713" s="10"/>
      <c r="U713" s="10"/>
    </row>
    <row r="714" spans="1:21" ht="12.75" x14ac:dyDescent="0.2">
      <c r="A714" s="10"/>
      <c r="B714" s="10"/>
      <c r="C714" s="10"/>
      <c r="D714" s="10"/>
      <c r="E714" s="10"/>
      <c r="F714" s="10"/>
      <c r="G714" s="10"/>
      <c r="H714" s="10"/>
      <c r="I714" s="10"/>
      <c r="J714" s="10"/>
      <c r="K714" s="10"/>
      <c r="L714" s="10"/>
      <c r="M714" s="10"/>
      <c r="N714" s="10"/>
      <c r="O714" s="10"/>
      <c r="P714" s="10"/>
      <c r="Q714" s="10"/>
      <c r="R714" s="10"/>
      <c r="S714" s="10"/>
      <c r="T714" s="10"/>
      <c r="U714" s="10"/>
    </row>
    <row r="715" spans="1:21" ht="12.75" x14ac:dyDescent="0.2">
      <c r="A715" s="10"/>
      <c r="B715" s="10"/>
      <c r="C715" s="10"/>
      <c r="D715" s="10"/>
      <c r="E715" s="10"/>
      <c r="F715" s="10"/>
      <c r="G715" s="10"/>
      <c r="H715" s="10"/>
      <c r="I715" s="10"/>
      <c r="J715" s="10"/>
      <c r="K715" s="10"/>
      <c r="L715" s="10"/>
      <c r="M715" s="10"/>
      <c r="N715" s="10"/>
      <c r="O715" s="10"/>
      <c r="P715" s="10"/>
      <c r="Q715" s="10"/>
      <c r="R715" s="10"/>
      <c r="S715" s="10"/>
      <c r="T715" s="10"/>
      <c r="U715" s="10"/>
    </row>
    <row r="716" spans="1:21" ht="12.75" x14ac:dyDescent="0.2">
      <c r="A716" s="10"/>
      <c r="B716" s="10"/>
      <c r="C716" s="10"/>
      <c r="D716" s="10"/>
      <c r="E716" s="10"/>
      <c r="F716" s="10"/>
      <c r="G716" s="10"/>
      <c r="H716" s="10"/>
      <c r="I716" s="10"/>
      <c r="J716" s="10"/>
      <c r="K716" s="10"/>
      <c r="L716" s="10"/>
      <c r="M716" s="10"/>
      <c r="N716" s="10"/>
      <c r="O716" s="10"/>
      <c r="P716" s="10"/>
      <c r="Q716" s="10"/>
      <c r="R716" s="10"/>
      <c r="S716" s="10"/>
      <c r="T716" s="10"/>
      <c r="U716" s="10"/>
    </row>
    <row r="717" spans="1:21" ht="12.75" x14ac:dyDescent="0.2">
      <c r="A717" s="10"/>
      <c r="B717" s="10"/>
      <c r="C717" s="10"/>
      <c r="D717" s="10"/>
      <c r="E717" s="10"/>
      <c r="F717" s="10"/>
      <c r="G717" s="10"/>
      <c r="H717" s="10"/>
      <c r="I717" s="10"/>
      <c r="J717" s="10"/>
      <c r="K717" s="10"/>
      <c r="L717" s="10"/>
      <c r="M717" s="10"/>
      <c r="N717" s="10"/>
      <c r="O717" s="10"/>
      <c r="P717" s="10"/>
      <c r="Q717" s="10"/>
      <c r="R717" s="10"/>
      <c r="S717" s="10"/>
      <c r="T717" s="10"/>
      <c r="U717" s="10"/>
    </row>
    <row r="718" spans="1:21" ht="12.75" x14ac:dyDescent="0.2">
      <c r="A718" s="10"/>
      <c r="B718" s="10"/>
      <c r="C718" s="10"/>
      <c r="D718" s="10"/>
      <c r="E718" s="10"/>
      <c r="F718" s="10"/>
      <c r="G718" s="10"/>
      <c r="H718" s="10"/>
      <c r="I718" s="10"/>
      <c r="J718" s="10"/>
      <c r="K718" s="10"/>
      <c r="L718" s="10"/>
      <c r="M718" s="10"/>
      <c r="N718" s="10"/>
      <c r="O718" s="10"/>
      <c r="P718" s="10"/>
      <c r="Q718" s="10"/>
      <c r="R718" s="10"/>
      <c r="S718" s="10"/>
      <c r="T718" s="10"/>
      <c r="U718" s="10"/>
    </row>
    <row r="719" spans="1:21" ht="12.75" x14ac:dyDescent="0.2">
      <c r="A719" s="10"/>
      <c r="B719" s="10"/>
      <c r="C719" s="10"/>
      <c r="D719" s="10"/>
      <c r="E719" s="10"/>
      <c r="F719" s="10"/>
      <c r="G719" s="10"/>
      <c r="H719" s="10"/>
      <c r="I719" s="10"/>
      <c r="J719" s="10"/>
      <c r="K719" s="10"/>
      <c r="L719" s="10"/>
      <c r="M719" s="10"/>
      <c r="N719" s="10"/>
      <c r="O719" s="10"/>
      <c r="P719" s="10"/>
      <c r="Q719" s="10"/>
      <c r="R719" s="10"/>
      <c r="S719" s="10"/>
      <c r="T719" s="10"/>
      <c r="U719" s="10"/>
    </row>
    <row r="720" spans="1:21" ht="12.75" x14ac:dyDescent="0.2">
      <c r="A720" s="10"/>
      <c r="B720" s="10"/>
      <c r="C720" s="10"/>
      <c r="D720" s="10"/>
      <c r="E720" s="10"/>
      <c r="F720" s="10"/>
      <c r="G720" s="10"/>
      <c r="H720" s="10"/>
      <c r="I720" s="10"/>
      <c r="J720" s="10"/>
      <c r="K720" s="10"/>
      <c r="L720" s="10"/>
      <c r="M720" s="10"/>
      <c r="N720" s="10"/>
      <c r="O720" s="10"/>
      <c r="P720" s="10"/>
      <c r="Q720" s="10"/>
      <c r="R720" s="10"/>
      <c r="S720" s="10"/>
      <c r="T720" s="10"/>
      <c r="U720" s="10"/>
    </row>
    <row r="721" spans="1:21" ht="12.75" x14ac:dyDescent="0.2">
      <c r="A721" s="10"/>
      <c r="B721" s="10"/>
      <c r="C721" s="10"/>
      <c r="D721" s="10"/>
      <c r="E721" s="10"/>
      <c r="F721" s="10"/>
      <c r="G721" s="10"/>
      <c r="H721" s="10"/>
      <c r="I721" s="10"/>
      <c r="J721" s="10"/>
      <c r="K721" s="10"/>
      <c r="L721" s="10"/>
      <c r="M721" s="10"/>
      <c r="N721" s="10"/>
      <c r="O721" s="10"/>
      <c r="P721" s="10"/>
      <c r="Q721" s="10"/>
      <c r="R721" s="10"/>
      <c r="S721" s="10"/>
      <c r="T721" s="10"/>
      <c r="U721" s="10"/>
    </row>
    <row r="722" spans="1:21" ht="12.75" x14ac:dyDescent="0.2">
      <c r="A722" s="10"/>
      <c r="B722" s="10"/>
      <c r="C722" s="10"/>
      <c r="D722" s="10"/>
      <c r="E722" s="10"/>
      <c r="F722" s="10"/>
      <c r="G722" s="10"/>
      <c r="H722" s="10"/>
      <c r="I722" s="10"/>
      <c r="J722" s="10"/>
      <c r="K722" s="10"/>
      <c r="L722" s="10"/>
      <c r="M722" s="10"/>
      <c r="N722" s="10"/>
      <c r="O722" s="10"/>
      <c r="P722" s="10"/>
      <c r="Q722" s="10"/>
      <c r="R722" s="10"/>
      <c r="S722" s="10"/>
      <c r="T722" s="10"/>
      <c r="U722" s="10"/>
    </row>
    <row r="723" spans="1:21" ht="12.75" x14ac:dyDescent="0.2">
      <c r="A723" s="10"/>
      <c r="B723" s="10"/>
      <c r="C723" s="10"/>
      <c r="D723" s="10"/>
      <c r="E723" s="10"/>
      <c r="F723" s="10"/>
      <c r="G723" s="10"/>
      <c r="H723" s="10"/>
      <c r="I723" s="10"/>
      <c r="J723" s="10"/>
      <c r="K723" s="10"/>
      <c r="L723" s="10"/>
      <c r="M723" s="10"/>
      <c r="N723" s="10"/>
      <c r="O723" s="10"/>
      <c r="P723" s="10"/>
      <c r="Q723" s="10"/>
      <c r="R723" s="10"/>
      <c r="S723" s="10"/>
      <c r="T723" s="10"/>
      <c r="U723" s="10"/>
    </row>
    <row r="724" spans="1:21" ht="12.75" x14ac:dyDescent="0.2">
      <c r="A724" s="10"/>
      <c r="B724" s="10"/>
      <c r="C724" s="10"/>
      <c r="D724" s="10"/>
      <c r="E724" s="10"/>
      <c r="F724" s="10"/>
      <c r="G724" s="10"/>
      <c r="H724" s="10"/>
      <c r="I724" s="10"/>
      <c r="J724" s="10"/>
      <c r="K724" s="10"/>
      <c r="L724" s="10"/>
      <c r="M724" s="10"/>
      <c r="N724" s="10"/>
      <c r="O724" s="10"/>
      <c r="P724" s="10"/>
      <c r="Q724" s="10"/>
      <c r="R724" s="10"/>
      <c r="S724" s="10"/>
      <c r="T724" s="10"/>
      <c r="U724" s="10"/>
    </row>
    <row r="725" spans="1:21" ht="12.75" x14ac:dyDescent="0.2">
      <c r="A725" s="10"/>
      <c r="B725" s="10"/>
      <c r="C725" s="10"/>
      <c r="D725" s="10"/>
      <c r="E725" s="10"/>
      <c r="F725" s="10"/>
      <c r="G725" s="10"/>
      <c r="H725" s="10"/>
      <c r="I725" s="10"/>
      <c r="J725" s="10"/>
      <c r="K725" s="10"/>
      <c r="L725" s="10"/>
      <c r="M725" s="10"/>
      <c r="N725" s="10"/>
      <c r="O725" s="10"/>
      <c r="P725" s="10"/>
      <c r="Q725" s="10"/>
      <c r="R725" s="10"/>
      <c r="S725" s="10"/>
      <c r="T725" s="10"/>
      <c r="U725" s="10"/>
    </row>
    <row r="726" spans="1:21" ht="12.75" x14ac:dyDescent="0.2">
      <c r="A726" s="10"/>
      <c r="B726" s="10"/>
      <c r="C726" s="10"/>
      <c r="D726" s="10"/>
      <c r="E726" s="10"/>
      <c r="F726" s="10"/>
      <c r="G726" s="10"/>
      <c r="H726" s="10"/>
      <c r="I726" s="10"/>
      <c r="J726" s="10"/>
      <c r="K726" s="10"/>
      <c r="L726" s="10"/>
      <c r="M726" s="10"/>
      <c r="N726" s="10"/>
      <c r="O726" s="10"/>
      <c r="P726" s="10"/>
      <c r="Q726" s="10"/>
      <c r="R726" s="10"/>
      <c r="S726" s="10"/>
      <c r="T726" s="10"/>
      <c r="U726" s="10"/>
    </row>
    <row r="727" spans="1:21" ht="12.75" x14ac:dyDescent="0.2">
      <c r="A727" s="10"/>
      <c r="B727" s="10"/>
      <c r="C727" s="10"/>
      <c r="D727" s="10"/>
      <c r="E727" s="10"/>
      <c r="F727" s="10"/>
      <c r="G727" s="10"/>
      <c r="H727" s="10"/>
      <c r="I727" s="10"/>
      <c r="J727" s="10"/>
      <c r="K727" s="10"/>
      <c r="L727" s="10"/>
      <c r="M727" s="10"/>
      <c r="N727" s="10"/>
      <c r="O727" s="10"/>
      <c r="P727" s="10"/>
      <c r="Q727" s="10"/>
      <c r="R727" s="10"/>
      <c r="S727" s="10"/>
      <c r="T727" s="10"/>
      <c r="U727" s="10"/>
    </row>
    <row r="728" spans="1:21" ht="12.75" x14ac:dyDescent="0.2">
      <c r="A728" s="10"/>
      <c r="B728" s="10"/>
      <c r="C728" s="10"/>
      <c r="D728" s="10"/>
      <c r="E728" s="10"/>
      <c r="F728" s="10"/>
      <c r="G728" s="10"/>
      <c r="H728" s="10"/>
      <c r="I728" s="10"/>
      <c r="J728" s="10"/>
      <c r="K728" s="10"/>
      <c r="L728" s="10"/>
      <c r="M728" s="10"/>
      <c r="N728" s="10"/>
      <c r="O728" s="10"/>
      <c r="P728" s="10"/>
      <c r="Q728" s="10"/>
      <c r="R728" s="10"/>
      <c r="S728" s="10"/>
      <c r="T728" s="10"/>
      <c r="U728" s="10"/>
    </row>
    <row r="729" spans="1:21" ht="12.75" x14ac:dyDescent="0.2">
      <c r="A729" s="10"/>
      <c r="B729" s="10"/>
      <c r="C729" s="10"/>
      <c r="D729" s="10"/>
      <c r="E729" s="10"/>
      <c r="F729" s="10"/>
      <c r="G729" s="10"/>
      <c r="H729" s="10"/>
      <c r="I729" s="10"/>
      <c r="J729" s="10"/>
      <c r="K729" s="10"/>
      <c r="L729" s="10"/>
      <c r="M729" s="10"/>
      <c r="N729" s="10"/>
      <c r="O729" s="10"/>
      <c r="P729" s="10"/>
      <c r="Q729" s="10"/>
      <c r="R729" s="10"/>
      <c r="S729" s="10"/>
      <c r="T729" s="10"/>
      <c r="U729" s="10"/>
    </row>
    <row r="730" spans="1:21" ht="12.75" x14ac:dyDescent="0.2">
      <c r="A730" s="10"/>
      <c r="B730" s="10"/>
      <c r="C730" s="10"/>
      <c r="D730" s="10"/>
      <c r="E730" s="10"/>
      <c r="F730" s="10"/>
      <c r="G730" s="10"/>
      <c r="H730" s="10"/>
      <c r="I730" s="10"/>
      <c r="J730" s="10"/>
      <c r="K730" s="10"/>
      <c r="L730" s="10"/>
      <c r="M730" s="10"/>
      <c r="N730" s="10"/>
      <c r="O730" s="10"/>
      <c r="P730" s="10"/>
      <c r="Q730" s="10"/>
      <c r="R730" s="10"/>
      <c r="S730" s="10"/>
      <c r="T730" s="10"/>
      <c r="U730" s="10"/>
    </row>
    <row r="731" spans="1:21" ht="12.75" x14ac:dyDescent="0.2">
      <c r="A731" s="10"/>
      <c r="B731" s="10"/>
      <c r="C731" s="10"/>
      <c r="D731" s="10"/>
      <c r="E731" s="10"/>
      <c r="F731" s="10"/>
      <c r="G731" s="10"/>
      <c r="H731" s="10"/>
      <c r="I731" s="10"/>
      <c r="J731" s="10"/>
      <c r="K731" s="10"/>
      <c r="L731" s="10"/>
      <c r="M731" s="10"/>
      <c r="N731" s="10"/>
      <c r="O731" s="10"/>
      <c r="P731" s="10"/>
      <c r="Q731" s="10"/>
      <c r="R731" s="10"/>
      <c r="S731" s="10"/>
      <c r="T731" s="10"/>
      <c r="U731" s="10"/>
    </row>
    <row r="732" spans="1:21" ht="12.75" x14ac:dyDescent="0.2">
      <c r="A732" s="10"/>
      <c r="B732" s="10"/>
      <c r="C732" s="10"/>
      <c r="D732" s="10"/>
      <c r="E732" s="10"/>
      <c r="F732" s="10"/>
      <c r="G732" s="10"/>
      <c r="H732" s="10"/>
      <c r="I732" s="10"/>
      <c r="J732" s="10"/>
      <c r="K732" s="10"/>
      <c r="L732" s="10"/>
      <c r="M732" s="10"/>
      <c r="N732" s="10"/>
      <c r="O732" s="10"/>
      <c r="P732" s="10"/>
      <c r="Q732" s="10"/>
      <c r="R732" s="10"/>
      <c r="S732" s="10"/>
      <c r="T732" s="10"/>
      <c r="U732" s="10"/>
    </row>
    <row r="733" spans="1:21" ht="12.75" x14ac:dyDescent="0.2">
      <c r="A733" s="10"/>
      <c r="B733" s="10"/>
      <c r="C733" s="10"/>
      <c r="D733" s="10"/>
      <c r="E733" s="10"/>
      <c r="F733" s="10"/>
      <c r="G733" s="10"/>
      <c r="H733" s="10"/>
      <c r="I733" s="10"/>
      <c r="J733" s="10"/>
      <c r="K733" s="10"/>
      <c r="L733" s="10"/>
      <c r="M733" s="10"/>
      <c r="N733" s="10"/>
      <c r="O733" s="10"/>
      <c r="P733" s="10"/>
      <c r="Q733" s="10"/>
      <c r="R733" s="10"/>
      <c r="S733" s="10"/>
      <c r="T733" s="10"/>
      <c r="U733" s="10"/>
    </row>
    <row r="734" spans="1:21" ht="12.75" x14ac:dyDescent="0.2">
      <c r="A734" s="10"/>
      <c r="B734" s="10"/>
      <c r="C734" s="10"/>
      <c r="D734" s="10"/>
      <c r="E734" s="10"/>
      <c r="F734" s="10"/>
      <c r="G734" s="10"/>
      <c r="H734" s="10"/>
      <c r="I734" s="10"/>
      <c r="J734" s="10"/>
      <c r="K734" s="10"/>
      <c r="L734" s="10"/>
      <c r="M734" s="10"/>
      <c r="N734" s="10"/>
      <c r="O734" s="10"/>
      <c r="P734" s="10"/>
      <c r="Q734" s="10"/>
      <c r="R734" s="10"/>
      <c r="S734" s="10"/>
      <c r="T734" s="10"/>
      <c r="U734" s="10"/>
    </row>
    <row r="735" spans="1:21" ht="12.75" x14ac:dyDescent="0.2">
      <c r="A735" s="10"/>
      <c r="B735" s="10"/>
      <c r="C735" s="10"/>
      <c r="D735" s="10"/>
      <c r="E735" s="10"/>
      <c r="F735" s="10"/>
      <c r="G735" s="10"/>
      <c r="H735" s="10"/>
      <c r="I735" s="10"/>
      <c r="J735" s="10"/>
      <c r="K735" s="10"/>
      <c r="L735" s="10"/>
      <c r="M735" s="10"/>
      <c r="N735" s="10"/>
      <c r="O735" s="10"/>
      <c r="P735" s="10"/>
      <c r="Q735" s="10"/>
      <c r="R735" s="10"/>
      <c r="S735" s="10"/>
      <c r="T735" s="10"/>
      <c r="U735" s="10"/>
    </row>
    <row r="736" spans="1:21" ht="12.75" x14ac:dyDescent="0.2">
      <c r="A736" s="10"/>
      <c r="B736" s="10"/>
      <c r="C736" s="10"/>
      <c r="D736" s="10"/>
      <c r="E736" s="10"/>
      <c r="F736" s="10"/>
      <c r="G736" s="10"/>
      <c r="H736" s="10"/>
      <c r="I736" s="10"/>
      <c r="J736" s="10"/>
      <c r="K736" s="10"/>
      <c r="L736" s="10"/>
      <c r="M736" s="10"/>
      <c r="N736" s="10"/>
      <c r="O736" s="10"/>
      <c r="P736" s="10"/>
      <c r="Q736" s="10"/>
      <c r="R736" s="10"/>
      <c r="S736" s="10"/>
      <c r="T736" s="10"/>
      <c r="U736" s="10"/>
    </row>
    <row r="737" spans="1:21" ht="12.75" x14ac:dyDescent="0.2">
      <c r="A737" s="10"/>
      <c r="B737" s="10"/>
      <c r="C737" s="10"/>
      <c r="D737" s="10"/>
      <c r="E737" s="10"/>
      <c r="F737" s="10"/>
      <c r="G737" s="10"/>
      <c r="H737" s="10"/>
      <c r="I737" s="10"/>
      <c r="J737" s="10"/>
      <c r="K737" s="10"/>
      <c r="L737" s="10"/>
      <c r="M737" s="10"/>
      <c r="N737" s="10"/>
      <c r="O737" s="10"/>
      <c r="P737" s="10"/>
      <c r="Q737" s="10"/>
      <c r="R737" s="10"/>
      <c r="S737" s="10"/>
      <c r="T737" s="10"/>
      <c r="U737" s="10"/>
    </row>
    <row r="738" spans="1:21" ht="12.75" x14ac:dyDescent="0.2">
      <c r="A738" s="10"/>
      <c r="B738" s="10"/>
      <c r="C738" s="10"/>
      <c r="D738" s="10"/>
      <c r="E738" s="10"/>
      <c r="F738" s="10"/>
      <c r="G738" s="10"/>
      <c r="H738" s="10"/>
      <c r="I738" s="10"/>
      <c r="J738" s="10"/>
      <c r="K738" s="10"/>
      <c r="L738" s="10"/>
      <c r="M738" s="10"/>
      <c r="N738" s="10"/>
      <c r="O738" s="10"/>
      <c r="P738" s="10"/>
      <c r="Q738" s="10"/>
      <c r="R738" s="10"/>
      <c r="S738" s="10"/>
      <c r="T738" s="10"/>
      <c r="U738" s="10"/>
    </row>
    <row r="739" spans="1:21" ht="12.75" x14ac:dyDescent="0.2">
      <c r="A739" s="10"/>
      <c r="B739" s="10"/>
      <c r="C739" s="10"/>
      <c r="D739" s="10"/>
      <c r="E739" s="10"/>
      <c r="F739" s="10"/>
      <c r="G739" s="10"/>
      <c r="H739" s="10"/>
      <c r="I739" s="10"/>
      <c r="J739" s="10"/>
      <c r="K739" s="10"/>
      <c r="L739" s="10"/>
      <c r="M739" s="10"/>
      <c r="N739" s="10"/>
      <c r="O739" s="10"/>
      <c r="P739" s="10"/>
      <c r="Q739" s="10"/>
      <c r="R739" s="10"/>
      <c r="S739" s="10"/>
      <c r="T739" s="10"/>
      <c r="U739" s="10"/>
    </row>
    <row r="740" spans="1:21" ht="12.75" x14ac:dyDescent="0.2">
      <c r="A740" s="10"/>
      <c r="B740" s="10"/>
      <c r="C740" s="10"/>
      <c r="D740" s="10"/>
      <c r="E740" s="10"/>
      <c r="F740" s="10"/>
      <c r="G740" s="10"/>
      <c r="H740" s="10"/>
      <c r="I740" s="10"/>
      <c r="J740" s="10"/>
      <c r="K740" s="10"/>
      <c r="L740" s="10"/>
      <c r="M740" s="10"/>
      <c r="N740" s="10"/>
      <c r="O740" s="10"/>
      <c r="P740" s="10"/>
      <c r="Q740" s="10"/>
      <c r="R740" s="10"/>
      <c r="S740" s="10"/>
      <c r="T740" s="10"/>
      <c r="U740" s="10"/>
    </row>
    <row r="741" spans="1:21" ht="12.75" x14ac:dyDescent="0.2">
      <c r="A741" s="10"/>
      <c r="B741" s="10"/>
      <c r="C741" s="10"/>
      <c r="D741" s="10"/>
      <c r="E741" s="10"/>
      <c r="F741" s="10"/>
      <c r="G741" s="10"/>
      <c r="H741" s="10"/>
      <c r="I741" s="10"/>
      <c r="J741" s="10"/>
      <c r="K741" s="10"/>
      <c r="L741" s="10"/>
      <c r="M741" s="10"/>
      <c r="N741" s="10"/>
      <c r="O741" s="10"/>
      <c r="P741" s="10"/>
      <c r="Q741" s="10"/>
      <c r="R741" s="10"/>
      <c r="S741" s="10"/>
      <c r="T741" s="10"/>
      <c r="U741" s="10"/>
    </row>
    <row r="742" spans="1:21" ht="12.75" x14ac:dyDescent="0.2">
      <c r="A742" s="10"/>
      <c r="B742" s="10"/>
      <c r="C742" s="10"/>
      <c r="D742" s="10"/>
      <c r="E742" s="10"/>
      <c r="F742" s="10"/>
      <c r="G742" s="10"/>
      <c r="H742" s="10"/>
      <c r="I742" s="10"/>
      <c r="J742" s="10"/>
      <c r="K742" s="10"/>
      <c r="L742" s="10"/>
      <c r="M742" s="10"/>
      <c r="N742" s="10"/>
      <c r="O742" s="10"/>
      <c r="P742" s="10"/>
      <c r="Q742" s="10"/>
      <c r="R742" s="10"/>
      <c r="S742" s="10"/>
      <c r="T742" s="10"/>
      <c r="U742" s="10"/>
    </row>
    <row r="743" spans="1:21" ht="12.75" x14ac:dyDescent="0.2">
      <c r="A743" s="10"/>
      <c r="B743" s="10"/>
      <c r="C743" s="10"/>
      <c r="D743" s="10"/>
      <c r="E743" s="10"/>
      <c r="F743" s="10"/>
      <c r="G743" s="10"/>
      <c r="H743" s="10"/>
      <c r="I743" s="10"/>
      <c r="J743" s="10"/>
      <c r="K743" s="10"/>
      <c r="L743" s="10"/>
      <c r="M743" s="10"/>
      <c r="N743" s="10"/>
      <c r="O743" s="10"/>
      <c r="P743" s="10"/>
      <c r="Q743" s="10"/>
      <c r="R743" s="10"/>
      <c r="S743" s="10"/>
      <c r="T743" s="10"/>
      <c r="U743" s="10"/>
    </row>
    <row r="744" spans="1:21" ht="12.75" x14ac:dyDescent="0.2">
      <c r="A744" s="10"/>
      <c r="B744" s="10"/>
      <c r="C744" s="10"/>
      <c r="D744" s="10"/>
      <c r="E744" s="10"/>
      <c r="F744" s="10"/>
      <c r="G744" s="10"/>
      <c r="H744" s="10"/>
      <c r="I744" s="10"/>
      <c r="J744" s="10"/>
      <c r="K744" s="10"/>
      <c r="L744" s="10"/>
      <c r="M744" s="10"/>
      <c r="N744" s="10"/>
      <c r="O744" s="10"/>
      <c r="P744" s="10"/>
      <c r="Q744" s="10"/>
      <c r="R744" s="10"/>
      <c r="S744" s="10"/>
      <c r="T744" s="10"/>
      <c r="U744" s="10"/>
    </row>
    <row r="745" spans="1:21" ht="12.75" x14ac:dyDescent="0.2">
      <c r="A745" s="10"/>
      <c r="B745" s="10"/>
      <c r="C745" s="10"/>
      <c r="D745" s="10"/>
      <c r="E745" s="10"/>
      <c r="F745" s="10"/>
      <c r="G745" s="10"/>
      <c r="H745" s="10"/>
      <c r="I745" s="10"/>
      <c r="J745" s="10"/>
      <c r="K745" s="10"/>
      <c r="L745" s="10"/>
      <c r="M745" s="10"/>
      <c r="N745" s="10"/>
      <c r="O745" s="10"/>
      <c r="P745" s="10"/>
      <c r="Q745" s="10"/>
      <c r="R745" s="10"/>
      <c r="S745" s="10"/>
      <c r="T745" s="10"/>
      <c r="U745" s="10"/>
    </row>
    <row r="746" spans="1:21" ht="12.75" x14ac:dyDescent="0.2">
      <c r="A746" s="10"/>
      <c r="B746" s="10"/>
      <c r="C746" s="10"/>
      <c r="D746" s="10"/>
      <c r="E746" s="10"/>
      <c r="F746" s="10"/>
      <c r="G746" s="10"/>
      <c r="H746" s="10"/>
      <c r="I746" s="10"/>
      <c r="J746" s="10"/>
      <c r="K746" s="10"/>
      <c r="L746" s="10"/>
      <c r="M746" s="10"/>
      <c r="N746" s="10"/>
      <c r="O746" s="10"/>
      <c r="P746" s="10"/>
      <c r="Q746" s="10"/>
      <c r="R746" s="10"/>
      <c r="S746" s="10"/>
      <c r="T746" s="10"/>
      <c r="U746" s="10"/>
    </row>
    <row r="747" spans="1:21" ht="12.75" x14ac:dyDescent="0.2">
      <c r="A747" s="10"/>
      <c r="B747" s="10"/>
      <c r="C747" s="10"/>
      <c r="D747" s="10"/>
      <c r="E747" s="10"/>
      <c r="F747" s="10"/>
      <c r="G747" s="10"/>
      <c r="H747" s="10"/>
      <c r="I747" s="10"/>
      <c r="J747" s="10"/>
      <c r="K747" s="10"/>
      <c r="L747" s="10"/>
      <c r="M747" s="10"/>
      <c r="N747" s="10"/>
      <c r="O747" s="10"/>
      <c r="P747" s="10"/>
      <c r="Q747" s="10"/>
      <c r="R747" s="10"/>
      <c r="S747" s="10"/>
      <c r="T747" s="10"/>
      <c r="U747" s="10"/>
    </row>
    <row r="748" spans="1:21" ht="12.75" x14ac:dyDescent="0.2">
      <c r="A748" s="10"/>
      <c r="B748" s="10"/>
      <c r="C748" s="10"/>
      <c r="D748" s="10"/>
      <c r="E748" s="10"/>
      <c r="F748" s="10"/>
      <c r="G748" s="10"/>
      <c r="H748" s="10"/>
      <c r="I748" s="10"/>
      <c r="J748" s="10"/>
      <c r="K748" s="10"/>
      <c r="L748" s="10"/>
      <c r="M748" s="10"/>
      <c r="N748" s="10"/>
      <c r="O748" s="10"/>
      <c r="P748" s="10"/>
      <c r="Q748" s="10"/>
      <c r="R748" s="10"/>
      <c r="S748" s="10"/>
      <c r="T748" s="10"/>
      <c r="U748" s="10"/>
    </row>
    <row r="749" spans="1:21" ht="12.75" x14ac:dyDescent="0.2">
      <c r="A749" s="10"/>
      <c r="B749" s="10"/>
      <c r="C749" s="10"/>
      <c r="D749" s="10"/>
      <c r="E749" s="10"/>
      <c r="F749" s="10"/>
      <c r="G749" s="10"/>
      <c r="H749" s="10"/>
      <c r="I749" s="10"/>
      <c r="J749" s="10"/>
      <c r="K749" s="10"/>
      <c r="L749" s="10"/>
      <c r="M749" s="10"/>
      <c r="N749" s="10"/>
      <c r="O749" s="10"/>
      <c r="P749" s="10"/>
      <c r="Q749" s="10"/>
      <c r="R749" s="10"/>
      <c r="S749" s="10"/>
      <c r="T749" s="10"/>
      <c r="U749" s="10"/>
    </row>
    <row r="750" spans="1:21" ht="12.75" x14ac:dyDescent="0.2">
      <c r="A750" s="10"/>
      <c r="B750" s="10"/>
      <c r="C750" s="10"/>
      <c r="D750" s="10"/>
      <c r="E750" s="10"/>
      <c r="F750" s="10"/>
      <c r="G750" s="10"/>
      <c r="H750" s="10"/>
      <c r="I750" s="10"/>
      <c r="J750" s="10"/>
      <c r="K750" s="10"/>
      <c r="L750" s="10"/>
      <c r="M750" s="10"/>
      <c r="N750" s="10"/>
      <c r="O750" s="10"/>
      <c r="P750" s="10"/>
      <c r="Q750" s="10"/>
      <c r="R750" s="10"/>
      <c r="S750" s="10"/>
      <c r="T750" s="10"/>
      <c r="U750" s="10"/>
    </row>
    <row r="751" spans="1:21" ht="12.75" x14ac:dyDescent="0.2">
      <c r="A751" s="10"/>
      <c r="B751" s="10"/>
      <c r="C751" s="10"/>
      <c r="D751" s="10"/>
      <c r="E751" s="10"/>
      <c r="F751" s="10"/>
      <c r="G751" s="10"/>
      <c r="H751" s="10"/>
      <c r="I751" s="10"/>
      <c r="J751" s="10"/>
      <c r="K751" s="10"/>
      <c r="L751" s="10"/>
      <c r="M751" s="10"/>
      <c r="N751" s="10"/>
      <c r="O751" s="10"/>
      <c r="P751" s="10"/>
      <c r="Q751" s="10"/>
      <c r="R751" s="10"/>
      <c r="S751" s="10"/>
      <c r="T751" s="10"/>
      <c r="U751" s="10"/>
    </row>
    <row r="752" spans="1:21" ht="12.75" x14ac:dyDescent="0.2">
      <c r="A752" s="10"/>
      <c r="B752" s="10"/>
      <c r="C752" s="10"/>
      <c r="D752" s="10"/>
      <c r="E752" s="10"/>
      <c r="F752" s="10"/>
      <c r="G752" s="10"/>
      <c r="H752" s="10"/>
      <c r="I752" s="10"/>
      <c r="J752" s="10"/>
      <c r="K752" s="10"/>
      <c r="L752" s="10"/>
      <c r="M752" s="10"/>
      <c r="N752" s="10"/>
      <c r="O752" s="10"/>
      <c r="P752" s="10"/>
      <c r="Q752" s="10"/>
      <c r="R752" s="10"/>
      <c r="S752" s="10"/>
      <c r="T752" s="10"/>
      <c r="U752" s="10"/>
    </row>
    <row r="753" spans="1:21" ht="12.75" x14ac:dyDescent="0.2">
      <c r="A753" s="10"/>
      <c r="B753" s="10"/>
      <c r="C753" s="10"/>
      <c r="D753" s="10"/>
      <c r="E753" s="10"/>
      <c r="F753" s="10"/>
      <c r="G753" s="10"/>
      <c r="H753" s="10"/>
      <c r="I753" s="10"/>
      <c r="J753" s="10"/>
      <c r="K753" s="10"/>
      <c r="L753" s="10"/>
      <c r="M753" s="10"/>
      <c r="N753" s="10"/>
      <c r="O753" s="10"/>
      <c r="P753" s="10"/>
      <c r="Q753" s="10"/>
      <c r="R753" s="10"/>
      <c r="S753" s="10"/>
      <c r="T753" s="10"/>
      <c r="U753" s="10"/>
    </row>
    <row r="754" spans="1:21" ht="12.75" x14ac:dyDescent="0.2">
      <c r="A754" s="10"/>
      <c r="B754" s="10"/>
      <c r="C754" s="10"/>
      <c r="D754" s="10"/>
      <c r="E754" s="10"/>
      <c r="F754" s="10"/>
      <c r="G754" s="10"/>
      <c r="H754" s="10"/>
      <c r="I754" s="10"/>
      <c r="J754" s="10"/>
      <c r="K754" s="10"/>
      <c r="L754" s="10"/>
      <c r="M754" s="10"/>
      <c r="N754" s="10"/>
      <c r="O754" s="10"/>
      <c r="P754" s="10"/>
      <c r="Q754" s="10"/>
      <c r="R754" s="10"/>
      <c r="S754" s="10"/>
      <c r="T754" s="10"/>
      <c r="U754" s="10"/>
    </row>
    <row r="755" spans="1:21" ht="12.75" x14ac:dyDescent="0.2">
      <c r="A755" s="10"/>
      <c r="B755" s="10"/>
      <c r="C755" s="10"/>
      <c r="D755" s="10"/>
      <c r="E755" s="10"/>
      <c r="F755" s="10"/>
      <c r="G755" s="10"/>
      <c r="H755" s="10"/>
      <c r="I755" s="10"/>
      <c r="J755" s="10"/>
      <c r="K755" s="10"/>
      <c r="L755" s="10"/>
      <c r="M755" s="10"/>
      <c r="N755" s="10"/>
      <c r="O755" s="10"/>
      <c r="P755" s="10"/>
      <c r="Q755" s="10"/>
      <c r="R755" s="10"/>
      <c r="S755" s="10"/>
      <c r="T755" s="10"/>
      <c r="U755" s="10"/>
    </row>
    <row r="756" spans="1:21" ht="12.75" x14ac:dyDescent="0.2">
      <c r="A756" s="10"/>
      <c r="B756" s="10"/>
      <c r="C756" s="10"/>
      <c r="D756" s="10"/>
      <c r="E756" s="10"/>
      <c r="F756" s="10"/>
      <c r="G756" s="10"/>
      <c r="H756" s="10"/>
      <c r="I756" s="10"/>
      <c r="J756" s="10"/>
      <c r="K756" s="10"/>
      <c r="L756" s="10"/>
      <c r="M756" s="10"/>
      <c r="N756" s="10"/>
      <c r="O756" s="10"/>
      <c r="P756" s="10"/>
      <c r="Q756" s="10"/>
      <c r="R756" s="10"/>
      <c r="S756" s="10"/>
      <c r="T756" s="10"/>
      <c r="U756" s="10"/>
    </row>
    <row r="757" spans="1:21" ht="12.75" x14ac:dyDescent="0.2">
      <c r="A757" s="10"/>
      <c r="B757" s="10"/>
      <c r="C757" s="10"/>
      <c r="D757" s="10"/>
      <c r="E757" s="10"/>
      <c r="F757" s="10"/>
      <c r="G757" s="10"/>
      <c r="H757" s="10"/>
      <c r="I757" s="10"/>
      <c r="J757" s="10"/>
      <c r="K757" s="10"/>
      <c r="L757" s="10"/>
      <c r="M757" s="10"/>
      <c r="N757" s="10"/>
      <c r="O757" s="10"/>
      <c r="P757" s="10"/>
      <c r="Q757" s="10"/>
      <c r="R757" s="10"/>
      <c r="S757" s="10"/>
      <c r="T757" s="10"/>
      <c r="U757" s="10"/>
    </row>
    <row r="758" spans="1:21" ht="12.75" x14ac:dyDescent="0.2">
      <c r="A758" s="10"/>
      <c r="B758" s="10"/>
      <c r="C758" s="10"/>
      <c r="D758" s="10"/>
      <c r="E758" s="10"/>
      <c r="F758" s="10"/>
      <c r="G758" s="10"/>
      <c r="H758" s="10"/>
      <c r="I758" s="10"/>
      <c r="J758" s="10"/>
      <c r="K758" s="10"/>
      <c r="L758" s="10"/>
      <c r="M758" s="10"/>
      <c r="N758" s="10"/>
      <c r="O758" s="10"/>
      <c r="P758" s="10"/>
      <c r="Q758" s="10"/>
      <c r="R758" s="10"/>
      <c r="S758" s="10"/>
      <c r="T758" s="10"/>
      <c r="U758" s="10"/>
    </row>
    <row r="759" spans="1:21" ht="12.75" x14ac:dyDescent="0.2">
      <c r="A759" s="10"/>
      <c r="B759" s="10"/>
      <c r="C759" s="10"/>
      <c r="D759" s="10"/>
      <c r="E759" s="10"/>
      <c r="F759" s="10"/>
      <c r="G759" s="10"/>
      <c r="H759" s="10"/>
      <c r="I759" s="10"/>
      <c r="J759" s="10"/>
      <c r="K759" s="10"/>
      <c r="L759" s="10"/>
      <c r="M759" s="10"/>
      <c r="N759" s="10"/>
      <c r="O759" s="10"/>
      <c r="P759" s="10"/>
      <c r="Q759" s="10"/>
      <c r="R759" s="10"/>
      <c r="S759" s="10"/>
      <c r="T759" s="10"/>
      <c r="U759" s="10"/>
    </row>
    <row r="760" spans="1:21" ht="12.75" x14ac:dyDescent="0.2">
      <c r="A760" s="10"/>
      <c r="B760" s="10"/>
      <c r="C760" s="10"/>
      <c r="D760" s="10"/>
      <c r="E760" s="10"/>
      <c r="F760" s="10"/>
      <c r="G760" s="10"/>
      <c r="H760" s="10"/>
      <c r="I760" s="10"/>
      <c r="J760" s="10"/>
      <c r="K760" s="10"/>
      <c r="L760" s="10"/>
      <c r="M760" s="10"/>
      <c r="N760" s="10"/>
      <c r="O760" s="10"/>
      <c r="P760" s="10"/>
      <c r="Q760" s="10"/>
      <c r="R760" s="10"/>
      <c r="S760" s="10"/>
      <c r="T760" s="10"/>
      <c r="U760" s="10"/>
    </row>
    <row r="761" spans="1:21" ht="12.75" x14ac:dyDescent="0.2">
      <c r="A761" s="10"/>
      <c r="B761" s="10"/>
      <c r="C761" s="10"/>
      <c r="D761" s="10"/>
      <c r="E761" s="10"/>
      <c r="F761" s="10"/>
      <c r="G761" s="10"/>
      <c r="H761" s="10"/>
      <c r="I761" s="10"/>
      <c r="J761" s="10"/>
      <c r="K761" s="10"/>
      <c r="L761" s="10"/>
      <c r="M761" s="10"/>
      <c r="N761" s="10"/>
      <c r="O761" s="10"/>
      <c r="P761" s="10"/>
      <c r="Q761" s="10"/>
      <c r="R761" s="10"/>
      <c r="S761" s="10"/>
      <c r="T761" s="10"/>
      <c r="U761" s="10"/>
    </row>
    <row r="762" spans="1:21" ht="12.75" x14ac:dyDescent="0.2">
      <c r="A762" s="10"/>
      <c r="B762" s="10"/>
      <c r="C762" s="10"/>
      <c r="D762" s="10"/>
      <c r="E762" s="10"/>
      <c r="F762" s="10"/>
      <c r="G762" s="10"/>
      <c r="H762" s="10"/>
      <c r="I762" s="10"/>
      <c r="J762" s="10"/>
      <c r="K762" s="10"/>
      <c r="L762" s="10"/>
      <c r="M762" s="10"/>
      <c r="N762" s="10"/>
      <c r="O762" s="10"/>
      <c r="P762" s="10"/>
      <c r="Q762" s="10"/>
      <c r="R762" s="10"/>
      <c r="S762" s="10"/>
      <c r="T762" s="10"/>
      <c r="U762" s="10"/>
    </row>
    <row r="763" spans="1:21" ht="12.75" x14ac:dyDescent="0.2">
      <c r="A763" s="10"/>
      <c r="B763" s="10"/>
      <c r="C763" s="10"/>
      <c r="D763" s="10"/>
      <c r="E763" s="10"/>
      <c r="F763" s="10"/>
      <c r="G763" s="10"/>
      <c r="H763" s="10"/>
      <c r="I763" s="10"/>
      <c r="J763" s="10"/>
      <c r="K763" s="10"/>
      <c r="L763" s="10"/>
      <c r="M763" s="10"/>
      <c r="N763" s="10"/>
      <c r="O763" s="10"/>
      <c r="P763" s="10"/>
      <c r="Q763" s="10"/>
      <c r="R763" s="10"/>
      <c r="S763" s="10"/>
      <c r="T763" s="10"/>
      <c r="U763" s="10"/>
    </row>
    <row r="764" spans="1:21" ht="12.75" x14ac:dyDescent="0.2">
      <c r="A764" s="10"/>
      <c r="B764" s="10"/>
      <c r="C764" s="10"/>
      <c r="D764" s="10"/>
      <c r="E764" s="10"/>
      <c r="F764" s="10"/>
      <c r="G764" s="10"/>
      <c r="H764" s="10"/>
      <c r="I764" s="10"/>
      <c r="J764" s="10"/>
      <c r="K764" s="10"/>
      <c r="L764" s="10"/>
      <c r="M764" s="10"/>
      <c r="N764" s="10"/>
      <c r="O764" s="10"/>
      <c r="P764" s="10"/>
      <c r="Q764" s="10"/>
      <c r="R764" s="10"/>
      <c r="S764" s="10"/>
      <c r="T764" s="10"/>
      <c r="U764" s="10"/>
    </row>
    <row r="765" spans="1:21" ht="12.75" x14ac:dyDescent="0.2">
      <c r="A765" s="10"/>
      <c r="B765" s="10"/>
      <c r="C765" s="10"/>
      <c r="D765" s="10"/>
      <c r="E765" s="10"/>
      <c r="F765" s="10"/>
      <c r="G765" s="10"/>
      <c r="H765" s="10"/>
      <c r="I765" s="10"/>
      <c r="J765" s="10"/>
      <c r="K765" s="10"/>
      <c r="L765" s="10"/>
      <c r="M765" s="10"/>
      <c r="N765" s="10"/>
      <c r="O765" s="10"/>
      <c r="P765" s="10"/>
      <c r="Q765" s="10"/>
      <c r="R765" s="10"/>
      <c r="S765" s="10"/>
      <c r="T765" s="10"/>
      <c r="U765" s="10"/>
    </row>
    <row r="766" spans="1:21" ht="12.75" x14ac:dyDescent="0.2">
      <c r="A766" s="10"/>
      <c r="B766" s="10"/>
      <c r="C766" s="10"/>
      <c r="D766" s="10"/>
      <c r="E766" s="10"/>
      <c r="F766" s="10"/>
      <c r="G766" s="10"/>
      <c r="H766" s="10"/>
      <c r="I766" s="10"/>
      <c r="J766" s="10"/>
      <c r="K766" s="10"/>
      <c r="L766" s="10"/>
      <c r="M766" s="10"/>
      <c r="N766" s="10"/>
      <c r="O766" s="10"/>
      <c r="P766" s="10"/>
      <c r="Q766" s="10"/>
      <c r="R766" s="10"/>
      <c r="S766" s="10"/>
      <c r="T766" s="10"/>
      <c r="U766" s="10"/>
    </row>
    <row r="767" spans="1:21" ht="12.75" x14ac:dyDescent="0.2">
      <c r="A767" s="10"/>
      <c r="B767" s="10"/>
      <c r="C767" s="10"/>
      <c r="D767" s="10"/>
      <c r="E767" s="10"/>
      <c r="F767" s="10"/>
      <c r="G767" s="10"/>
      <c r="H767" s="10"/>
      <c r="I767" s="10"/>
      <c r="J767" s="10"/>
      <c r="K767" s="10"/>
      <c r="L767" s="10"/>
      <c r="M767" s="10"/>
      <c r="N767" s="10"/>
      <c r="O767" s="10"/>
      <c r="P767" s="10"/>
      <c r="Q767" s="10"/>
      <c r="R767" s="10"/>
      <c r="S767" s="10"/>
      <c r="T767" s="10"/>
      <c r="U767" s="10"/>
    </row>
    <row r="768" spans="1:21" ht="12.75" x14ac:dyDescent="0.2">
      <c r="A768" s="10"/>
      <c r="B768" s="10"/>
      <c r="C768" s="10"/>
      <c r="D768" s="10"/>
      <c r="E768" s="10"/>
      <c r="F768" s="10"/>
      <c r="G768" s="10"/>
      <c r="H768" s="10"/>
      <c r="I768" s="10"/>
      <c r="J768" s="10"/>
      <c r="K768" s="10"/>
      <c r="L768" s="10"/>
      <c r="M768" s="10"/>
      <c r="N768" s="10"/>
      <c r="O768" s="10"/>
      <c r="P768" s="10"/>
      <c r="Q768" s="10"/>
      <c r="R768" s="10"/>
      <c r="S768" s="10"/>
      <c r="T768" s="10"/>
      <c r="U768" s="10"/>
    </row>
    <row r="769" spans="1:21" ht="12.75" x14ac:dyDescent="0.2">
      <c r="A769" s="10"/>
      <c r="B769" s="10"/>
      <c r="C769" s="10"/>
      <c r="D769" s="10"/>
      <c r="E769" s="10"/>
      <c r="F769" s="10"/>
      <c r="G769" s="10"/>
      <c r="H769" s="10"/>
      <c r="I769" s="10"/>
      <c r="J769" s="10"/>
      <c r="K769" s="10"/>
      <c r="L769" s="10"/>
      <c r="M769" s="10"/>
      <c r="N769" s="10"/>
      <c r="O769" s="10"/>
      <c r="P769" s="10"/>
      <c r="Q769" s="10"/>
      <c r="R769" s="10"/>
      <c r="S769" s="10"/>
      <c r="T769" s="10"/>
      <c r="U769" s="10"/>
    </row>
    <row r="770" spans="1:21" ht="12.75" x14ac:dyDescent="0.2">
      <c r="A770" s="10"/>
      <c r="B770" s="10"/>
      <c r="C770" s="10"/>
      <c r="D770" s="10"/>
      <c r="E770" s="10"/>
      <c r="F770" s="10"/>
      <c r="G770" s="10"/>
      <c r="H770" s="10"/>
      <c r="I770" s="10"/>
      <c r="J770" s="10"/>
      <c r="K770" s="10"/>
      <c r="L770" s="10"/>
      <c r="M770" s="10"/>
      <c r="N770" s="10"/>
      <c r="O770" s="10"/>
      <c r="P770" s="10"/>
      <c r="Q770" s="10"/>
      <c r="R770" s="10"/>
      <c r="S770" s="10"/>
      <c r="T770" s="10"/>
      <c r="U770" s="10"/>
    </row>
    <row r="771" spans="1:21" ht="12.75" x14ac:dyDescent="0.2">
      <c r="A771" s="10"/>
      <c r="B771" s="10"/>
      <c r="C771" s="10"/>
      <c r="D771" s="10"/>
      <c r="E771" s="10"/>
      <c r="F771" s="10"/>
      <c r="G771" s="10"/>
      <c r="H771" s="10"/>
      <c r="I771" s="10"/>
      <c r="J771" s="10"/>
      <c r="K771" s="10"/>
      <c r="L771" s="10"/>
      <c r="M771" s="10"/>
      <c r="N771" s="10"/>
      <c r="O771" s="10"/>
      <c r="P771" s="10"/>
      <c r="Q771" s="10"/>
      <c r="R771" s="10"/>
      <c r="S771" s="10"/>
      <c r="T771" s="10"/>
      <c r="U771" s="10"/>
    </row>
    <row r="772" spans="1:21" ht="12.75" x14ac:dyDescent="0.2">
      <c r="A772" s="10"/>
      <c r="B772" s="10"/>
      <c r="C772" s="10"/>
      <c r="D772" s="10"/>
      <c r="E772" s="10"/>
      <c r="F772" s="10"/>
      <c r="G772" s="10"/>
      <c r="H772" s="10"/>
      <c r="I772" s="10"/>
      <c r="J772" s="10"/>
      <c r="K772" s="10"/>
      <c r="L772" s="10"/>
      <c r="M772" s="10"/>
      <c r="N772" s="10"/>
      <c r="O772" s="10"/>
      <c r="P772" s="10"/>
      <c r="Q772" s="10"/>
      <c r="R772" s="10"/>
      <c r="S772" s="10"/>
      <c r="T772" s="10"/>
      <c r="U772" s="10"/>
    </row>
    <row r="773" spans="1:21" ht="12.75" x14ac:dyDescent="0.2">
      <c r="A773" s="10"/>
      <c r="B773" s="10"/>
      <c r="C773" s="10"/>
      <c r="D773" s="10"/>
      <c r="E773" s="10"/>
      <c r="F773" s="10"/>
      <c r="G773" s="10"/>
      <c r="H773" s="10"/>
      <c r="I773" s="10"/>
      <c r="J773" s="10"/>
      <c r="K773" s="10"/>
      <c r="L773" s="10"/>
      <c r="M773" s="10"/>
      <c r="N773" s="10"/>
      <c r="O773" s="10"/>
      <c r="P773" s="10"/>
      <c r="Q773" s="10"/>
      <c r="R773" s="10"/>
      <c r="S773" s="10"/>
      <c r="T773" s="10"/>
      <c r="U773" s="10"/>
    </row>
    <row r="774" spans="1:21" ht="12.75" x14ac:dyDescent="0.2">
      <c r="A774" s="10"/>
      <c r="B774" s="10"/>
      <c r="C774" s="10"/>
      <c r="D774" s="10"/>
      <c r="E774" s="10"/>
      <c r="F774" s="10"/>
      <c r="G774" s="10"/>
      <c r="H774" s="10"/>
      <c r="I774" s="10"/>
      <c r="J774" s="10"/>
      <c r="K774" s="10"/>
      <c r="L774" s="10"/>
      <c r="M774" s="10"/>
      <c r="N774" s="10"/>
      <c r="O774" s="10"/>
      <c r="P774" s="10"/>
      <c r="Q774" s="10"/>
      <c r="R774" s="10"/>
      <c r="S774" s="10"/>
      <c r="T774" s="10"/>
      <c r="U774" s="10"/>
    </row>
    <row r="775" spans="1:21" ht="12.75" x14ac:dyDescent="0.2">
      <c r="A775" s="10"/>
      <c r="B775" s="10"/>
      <c r="C775" s="10"/>
      <c r="D775" s="10"/>
      <c r="E775" s="10"/>
      <c r="F775" s="10"/>
      <c r="G775" s="10"/>
      <c r="H775" s="10"/>
      <c r="I775" s="10"/>
      <c r="J775" s="10"/>
      <c r="K775" s="10"/>
      <c r="L775" s="10"/>
      <c r="M775" s="10"/>
      <c r="N775" s="10"/>
      <c r="O775" s="10"/>
      <c r="P775" s="10"/>
      <c r="Q775" s="10"/>
      <c r="R775" s="10"/>
      <c r="S775" s="10"/>
      <c r="T775" s="10"/>
      <c r="U775" s="10"/>
    </row>
    <row r="776" spans="1:21" ht="12.75" x14ac:dyDescent="0.2">
      <c r="A776" s="10"/>
      <c r="B776" s="10"/>
      <c r="C776" s="10"/>
      <c r="D776" s="10"/>
      <c r="E776" s="10"/>
      <c r="F776" s="10"/>
      <c r="G776" s="10"/>
      <c r="H776" s="10"/>
      <c r="I776" s="10"/>
      <c r="J776" s="10"/>
      <c r="K776" s="10"/>
      <c r="L776" s="10"/>
      <c r="M776" s="10"/>
      <c r="N776" s="10"/>
      <c r="O776" s="10"/>
      <c r="P776" s="10"/>
      <c r="Q776" s="10"/>
      <c r="R776" s="10"/>
      <c r="S776" s="10"/>
      <c r="T776" s="10"/>
      <c r="U776" s="10"/>
    </row>
    <row r="777" spans="1:21" ht="12.75" x14ac:dyDescent="0.2">
      <c r="A777" s="10"/>
      <c r="B777" s="10"/>
      <c r="C777" s="10"/>
      <c r="D777" s="10"/>
      <c r="E777" s="10"/>
      <c r="F777" s="10"/>
      <c r="G777" s="10"/>
      <c r="H777" s="10"/>
      <c r="I777" s="10"/>
      <c r="J777" s="10"/>
      <c r="K777" s="10"/>
      <c r="L777" s="10"/>
      <c r="M777" s="10"/>
      <c r="N777" s="10"/>
      <c r="O777" s="10"/>
      <c r="P777" s="10"/>
      <c r="Q777" s="10"/>
      <c r="R777" s="10"/>
      <c r="S777" s="10"/>
      <c r="T777" s="10"/>
      <c r="U777" s="10"/>
    </row>
    <row r="778" spans="1:21" ht="12.75" x14ac:dyDescent="0.2">
      <c r="A778" s="10"/>
      <c r="B778" s="10"/>
      <c r="C778" s="10"/>
      <c r="D778" s="10"/>
      <c r="E778" s="10"/>
      <c r="F778" s="10"/>
      <c r="G778" s="10"/>
      <c r="H778" s="10"/>
      <c r="I778" s="10"/>
      <c r="J778" s="10"/>
      <c r="K778" s="10"/>
      <c r="L778" s="10"/>
      <c r="M778" s="10"/>
      <c r="N778" s="10"/>
      <c r="O778" s="10"/>
      <c r="P778" s="10"/>
      <c r="Q778" s="10"/>
      <c r="R778" s="10"/>
      <c r="S778" s="10"/>
      <c r="T778" s="10"/>
      <c r="U778" s="10"/>
    </row>
    <row r="779" spans="1:21" ht="12.75" x14ac:dyDescent="0.2">
      <c r="A779" s="10"/>
      <c r="B779" s="10"/>
      <c r="C779" s="10"/>
      <c r="D779" s="10"/>
      <c r="E779" s="10"/>
      <c r="F779" s="10"/>
      <c r="G779" s="10"/>
      <c r="H779" s="10"/>
      <c r="I779" s="10"/>
      <c r="J779" s="10"/>
      <c r="K779" s="10"/>
      <c r="L779" s="10"/>
      <c r="M779" s="10"/>
      <c r="N779" s="10"/>
      <c r="O779" s="10"/>
      <c r="P779" s="10"/>
      <c r="Q779" s="10"/>
      <c r="R779" s="10"/>
      <c r="S779" s="10"/>
      <c r="T779" s="10"/>
      <c r="U779" s="10"/>
    </row>
    <row r="780" spans="1:21" ht="12.75" x14ac:dyDescent="0.2">
      <c r="A780" s="10"/>
      <c r="B780" s="10"/>
      <c r="C780" s="10"/>
      <c r="D780" s="10"/>
      <c r="E780" s="10"/>
      <c r="F780" s="10"/>
      <c r="G780" s="10"/>
      <c r="H780" s="10"/>
      <c r="I780" s="10"/>
      <c r="J780" s="10"/>
      <c r="K780" s="10"/>
      <c r="L780" s="10"/>
      <c r="M780" s="10"/>
      <c r="N780" s="10"/>
      <c r="O780" s="10"/>
      <c r="P780" s="10"/>
      <c r="Q780" s="10"/>
      <c r="R780" s="10"/>
      <c r="S780" s="10"/>
      <c r="T780" s="10"/>
      <c r="U780" s="10"/>
    </row>
    <row r="781" spans="1:21" ht="12.75" x14ac:dyDescent="0.2">
      <c r="A781" s="10"/>
      <c r="B781" s="10"/>
      <c r="C781" s="10"/>
      <c r="D781" s="10"/>
      <c r="E781" s="10"/>
      <c r="F781" s="10"/>
      <c r="G781" s="10"/>
      <c r="H781" s="10"/>
      <c r="I781" s="10"/>
      <c r="J781" s="10"/>
      <c r="K781" s="10"/>
      <c r="L781" s="10"/>
      <c r="M781" s="10"/>
      <c r="N781" s="10"/>
      <c r="O781" s="10"/>
      <c r="P781" s="10"/>
      <c r="Q781" s="10"/>
      <c r="R781" s="10"/>
      <c r="S781" s="10"/>
      <c r="T781" s="10"/>
      <c r="U781" s="10"/>
    </row>
    <row r="782" spans="1:21" ht="12.75" x14ac:dyDescent="0.2">
      <c r="A782" s="10"/>
      <c r="B782" s="10"/>
      <c r="C782" s="10"/>
      <c r="D782" s="10"/>
      <c r="E782" s="10"/>
      <c r="F782" s="10"/>
      <c r="G782" s="10"/>
      <c r="H782" s="10"/>
      <c r="I782" s="10"/>
      <c r="J782" s="10"/>
      <c r="K782" s="10"/>
      <c r="L782" s="10"/>
      <c r="M782" s="10"/>
      <c r="N782" s="10"/>
      <c r="O782" s="10"/>
      <c r="P782" s="10"/>
      <c r="Q782" s="10"/>
      <c r="R782" s="10"/>
      <c r="S782" s="10"/>
      <c r="T782" s="10"/>
      <c r="U782" s="10"/>
    </row>
    <row r="783" spans="1:21" ht="12.75" x14ac:dyDescent="0.2">
      <c r="A783" s="10"/>
      <c r="B783" s="10"/>
      <c r="C783" s="10"/>
      <c r="D783" s="10"/>
      <c r="E783" s="10"/>
      <c r="F783" s="10"/>
      <c r="G783" s="10"/>
      <c r="H783" s="10"/>
      <c r="I783" s="10"/>
      <c r="J783" s="10"/>
      <c r="K783" s="10"/>
      <c r="L783" s="10"/>
      <c r="M783" s="10"/>
      <c r="N783" s="10"/>
      <c r="O783" s="10"/>
      <c r="P783" s="10"/>
      <c r="Q783" s="10"/>
      <c r="R783" s="10"/>
      <c r="S783" s="10"/>
      <c r="T783" s="10"/>
      <c r="U783" s="10"/>
    </row>
    <row r="784" spans="1:21" ht="12.75" x14ac:dyDescent="0.2">
      <c r="A784" s="10"/>
      <c r="B784" s="10"/>
      <c r="C784" s="10"/>
      <c r="D784" s="10"/>
      <c r="E784" s="10"/>
      <c r="F784" s="10"/>
      <c r="G784" s="10"/>
      <c r="H784" s="10"/>
      <c r="I784" s="10"/>
      <c r="J784" s="10"/>
      <c r="K784" s="10"/>
      <c r="L784" s="10"/>
      <c r="M784" s="10"/>
      <c r="N784" s="10"/>
      <c r="O784" s="10"/>
      <c r="P784" s="10"/>
      <c r="Q784" s="10"/>
      <c r="R784" s="10"/>
      <c r="S784" s="10"/>
      <c r="T784" s="10"/>
      <c r="U784" s="10"/>
    </row>
    <row r="785" spans="1:21" ht="12.75" x14ac:dyDescent="0.2">
      <c r="A785" s="10"/>
      <c r="B785" s="10"/>
      <c r="C785" s="10"/>
      <c r="D785" s="10"/>
      <c r="E785" s="10"/>
      <c r="F785" s="10"/>
      <c r="G785" s="10"/>
      <c r="H785" s="10"/>
      <c r="I785" s="10"/>
      <c r="J785" s="10"/>
      <c r="K785" s="10"/>
      <c r="L785" s="10"/>
      <c r="M785" s="10"/>
      <c r="N785" s="10"/>
      <c r="O785" s="10"/>
      <c r="P785" s="10"/>
      <c r="Q785" s="10"/>
      <c r="R785" s="10"/>
      <c r="S785" s="10"/>
      <c r="T785" s="10"/>
      <c r="U785" s="10"/>
    </row>
    <row r="786" spans="1:21" ht="12.75" x14ac:dyDescent="0.2">
      <c r="A786" s="10"/>
      <c r="B786" s="10"/>
      <c r="C786" s="10"/>
      <c r="D786" s="10"/>
      <c r="E786" s="10"/>
      <c r="F786" s="10"/>
      <c r="G786" s="10"/>
      <c r="H786" s="10"/>
      <c r="I786" s="10"/>
      <c r="J786" s="10"/>
      <c r="K786" s="10"/>
      <c r="L786" s="10"/>
      <c r="M786" s="10"/>
      <c r="N786" s="10"/>
      <c r="O786" s="10"/>
      <c r="P786" s="10"/>
      <c r="Q786" s="10"/>
      <c r="R786" s="10"/>
      <c r="S786" s="10"/>
      <c r="T786" s="10"/>
      <c r="U786" s="10"/>
    </row>
    <row r="787" spans="1:21" ht="12.75" x14ac:dyDescent="0.2">
      <c r="A787" s="10"/>
      <c r="B787" s="10"/>
      <c r="C787" s="10"/>
      <c r="D787" s="10"/>
      <c r="E787" s="10"/>
      <c r="F787" s="10"/>
      <c r="G787" s="10"/>
      <c r="H787" s="10"/>
      <c r="I787" s="10"/>
      <c r="J787" s="10"/>
      <c r="K787" s="10"/>
      <c r="L787" s="10"/>
      <c r="M787" s="10"/>
      <c r="N787" s="10"/>
      <c r="O787" s="10"/>
      <c r="P787" s="10"/>
      <c r="Q787" s="10"/>
      <c r="R787" s="10"/>
      <c r="S787" s="10"/>
      <c r="T787" s="10"/>
      <c r="U787" s="10"/>
    </row>
    <row r="788" spans="1:21" ht="12.75" x14ac:dyDescent="0.2">
      <c r="A788" s="10"/>
      <c r="B788" s="10"/>
      <c r="C788" s="10"/>
      <c r="D788" s="10"/>
      <c r="E788" s="10"/>
      <c r="F788" s="10"/>
      <c r="G788" s="10"/>
      <c r="H788" s="10"/>
      <c r="I788" s="10"/>
      <c r="J788" s="10"/>
      <c r="K788" s="10"/>
      <c r="L788" s="10"/>
      <c r="M788" s="10"/>
      <c r="N788" s="10"/>
      <c r="O788" s="10"/>
      <c r="P788" s="10"/>
      <c r="Q788" s="10"/>
      <c r="R788" s="10"/>
      <c r="S788" s="10"/>
      <c r="T788" s="10"/>
      <c r="U788" s="10"/>
    </row>
    <row r="789" spans="1:21" ht="12.75" x14ac:dyDescent="0.2">
      <c r="A789" s="10"/>
      <c r="B789" s="10"/>
      <c r="C789" s="10"/>
      <c r="D789" s="10"/>
      <c r="E789" s="10"/>
      <c r="F789" s="10"/>
      <c r="G789" s="10"/>
      <c r="H789" s="10"/>
      <c r="I789" s="10"/>
      <c r="J789" s="10"/>
      <c r="K789" s="10"/>
      <c r="L789" s="10"/>
      <c r="M789" s="10"/>
      <c r="N789" s="10"/>
      <c r="O789" s="10"/>
      <c r="P789" s="10"/>
      <c r="Q789" s="10"/>
      <c r="R789" s="10"/>
      <c r="S789" s="10"/>
      <c r="T789" s="10"/>
      <c r="U789" s="10"/>
    </row>
    <row r="790" spans="1:21" ht="12.75" x14ac:dyDescent="0.2">
      <c r="A790" s="10"/>
      <c r="B790" s="10"/>
      <c r="C790" s="10"/>
      <c r="D790" s="10"/>
      <c r="E790" s="10"/>
      <c r="F790" s="10"/>
      <c r="G790" s="10"/>
      <c r="H790" s="10"/>
      <c r="I790" s="10"/>
      <c r="J790" s="10"/>
      <c r="K790" s="10"/>
      <c r="L790" s="10"/>
      <c r="M790" s="10"/>
      <c r="N790" s="10"/>
      <c r="O790" s="10"/>
      <c r="P790" s="10"/>
      <c r="Q790" s="10"/>
      <c r="R790" s="10"/>
      <c r="S790" s="10"/>
      <c r="T790" s="10"/>
      <c r="U790" s="10"/>
    </row>
    <row r="791" spans="1:21" ht="12.75" x14ac:dyDescent="0.2">
      <c r="A791" s="10"/>
      <c r="B791" s="10"/>
      <c r="C791" s="10"/>
      <c r="D791" s="10"/>
      <c r="E791" s="10"/>
      <c r="F791" s="10"/>
      <c r="G791" s="10"/>
      <c r="H791" s="10"/>
      <c r="I791" s="10"/>
      <c r="J791" s="10"/>
      <c r="K791" s="10"/>
      <c r="L791" s="10"/>
      <c r="M791" s="10"/>
      <c r="N791" s="10"/>
      <c r="O791" s="10"/>
      <c r="P791" s="10"/>
      <c r="Q791" s="10"/>
      <c r="R791" s="10"/>
      <c r="S791" s="10"/>
      <c r="T791" s="10"/>
      <c r="U791" s="10"/>
    </row>
    <row r="792" spans="1:21" ht="12.75" x14ac:dyDescent="0.2">
      <c r="A792" s="10"/>
      <c r="B792" s="10"/>
      <c r="C792" s="10"/>
      <c r="D792" s="10"/>
      <c r="E792" s="10"/>
      <c r="F792" s="10"/>
      <c r="G792" s="10"/>
      <c r="H792" s="10"/>
      <c r="I792" s="10"/>
      <c r="J792" s="10"/>
      <c r="K792" s="10"/>
      <c r="L792" s="10"/>
      <c r="M792" s="10"/>
      <c r="N792" s="10"/>
      <c r="O792" s="10"/>
      <c r="P792" s="10"/>
      <c r="Q792" s="10"/>
      <c r="R792" s="10"/>
      <c r="S792" s="10"/>
      <c r="T792" s="10"/>
      <c r="U792" s="10"/>
    </row>
    <row r="793" spans="1:21" ht="12.75" x14ac:dyDescent="0.2">
      <c r="A793" s="10"/>
      <c r="B793" s="10"/>
      <c r="C793" s="10"/>
      <c r="D793" s="10"/>
      <c r="E793" s="10"/>
      <c r="F793" s="10"/>
      <c r="G793" s="10"/>
      <c r="H793" s="10"/>
      <c r="I793" s="10"/>
      <c r="J793" s="10"/>
      <c r="K793" s="10"/>
      <c r="L793" s="10"/>
      <c r="M793" s="10"/>
      <c r="N793" s="10"/>
      <c r="O793" s="10"/>
      <c r="P793" s="10"/>
      <c r="Q793" s="10"/>
      <c r="R793" s="10"/>
      <c r="S793" s="10"/>
      <c r="T793" s="10"/>
      <c r="U793" s="10"/>
    </row>
    <row r="794" spans="1:21" ht="12.75" x14ac:dyDescent="0.2">
      <c r="A794" s="10"/>
      <c r="B794" s="10"/>
      <c r="C794" s="10"/>
      <c r="D794" s="10"/>
      <c r="E794" s="10"/>
      <c r="F794" s="10"/>
      <c r="G794" s="10"/>
      <c r="H794" s="10"/>
      <c r="I794" s="10"/>
      <c r="J794" s="10"/>
      <c r="K794" s="10"/>
      <c r="L794" s="10"/>
      <c r="M794" s="10"/>
      <c r="N794" s="10"/>
      <c r="O794" s="10"/>
      <c r="P794" s="10"/>
      <c r="Q794" s="10"/>
      <c r="R794" s="10"/>
      <c r="S794" s="10"/>
      <c r="T794" s="10"/>
      <c r="U794" s="10"/>
    </row>
    <row r="795" spans="1:21" ht="12.75" x14ac:dyDescent="0.2">
      <c r="A795" s="10"/>
      <c r="B795" s="10"/>
      <c r="C795" s="10"/>
      <c r="D795" s="10"/>
      <c r="E795" s="10"/>
      <c r="F795" s="10"/>
      <c r="G795" s="10"/>
      <c r="H795" s="10"/>
      <c r="I795" s="10"/>
      <c r="J795" s="10"/>
      <c r="K795" s="10"/>
      <c r="L795" s="10"/>
      <c r="M795" s="10"/>
      <c r="N795" s="10"/>
      <c r="O795" s="10"/>
      <c r="P795" s="10"/>
      <c r="Q795" s="10"/>
      <c r="R795" s="10"/>
      <c r="S795" s="10"/>
      <c r="T795" s="10"/>
      <c r="U795" s="10"/>
    </row>
    <row r="796" spans="1:21" ht="12.75" x14ac:dyDescent="0.2">
      <c r="A796" s="10"/>
      <c r="B796" s="10"/>
      <c r="C796" s="10"/>
      <c r="D796" s="10"/>
      <c r="E796" s="10"/>
      <c r="F796" s="10"/>
      <c r="G796" s="10"/>
      <c r="H796" s="10"/>
      <c r="I796" s="10"/>
      <c r="J796" s="10"/>
      <c r="K796" s="10"/>
      <c r="L796" s="10"/>
      <c r="M796" s="10"/>
      <c r="N796" s="10"/>
      <c r="O796" s="10"/>
      <c r="P796" s="10"/>
      <c r="Q796" s="10"/>
      <c r="R796" s="10"/>
      <c r="S796" s="10"/>
      <c r="T796" s="10"/>
      <c r="U796" s="10"/>
    </row>
    <row r="797" spans="1:21" ht="12.75" x14ac:dyDescent="0.2">
      <c r="A797" s="10"/>
      <c r="B797" s="10"/>
      <c r="C797" s="10"/>
      <c r="D797" s="10"/>
      <c r="E797" s="10"/>
      <c r="F797" s="10"/>
      <c r="G797" s="10"/>
      <c r="H797" s="10"/>
      <c r="I797" s="10"/>
      <c r="J797" s="10"/>
      <c r="K797" s="10"/>
      <c r="L797" s="10"/>
      <c r="M797" s="10"/>
      <c r="N797" s="10"/>
      <c r="O797" s="10"/>
      <c r="P797" s="10"/>
      <c r="Q797" s="10"/>
      <c r="R797" s="10"/>
      <c r="S797" s="10"/>
      <c r="T797" s="10"/>
      <c r="U797" s="10"/>
    </row>
    <row r="798" spans="1:21" ht="12.75" x14ac:dyDescent="0.2">
      <c r="A798" s="10"/>
      <c r="B798" s="10"/>
      <c r="C798" s="10"/>
      <c r="D798" s="10"/>
      <c r="E798" s="10"/>
      <c r="F798" s="10"/>
      <c r="G798" s="10"/>
      <c r="H798" s="10"/>
      <c r="I798" s="10"/>
      <c r="J798" s="10"/>
      <c r="K798" s="10"/>
      <c r="L798" s="10"/>
      <c r="M798" s="10"/>
      <c r="N798" s="10"/>
      <c r="O798" s="10"/>
      <c r="P798" s="10"/>
      <c r="Q798" s="10"/>
      <c r="R798" s="10"/>
      <c r="S798" s="10"/>
      <c r="T798" s="10"/>
      <c r="U798" s="10"/>
    </row>
    <row r="799" spans="1:21" ht="12.75" x14ac:dyDescent="0.2">
      <c r="A799" s="10"/>
      <c r="B799" s="10"/>
      <c r="C799" s="10"/>
      <c r="D799" s="10"/>
      <c r="E799" s="10"/>
      <c r="F799" s="10"/>
      <c r="G799" s="10"/>
      <c r="H799" s="10"/>
      <c r="I799" s="10"/>
      <c r="J799" s="10"/>
      <c r="K799" s="10"/>
      <c r="L799" s="10"/>
      <c r="M799" s="10"/>
      <c r="N799" s="10"/>
      <c r="O799" s="10"/>
      <c r="P799" s="10"/>
      <c r="Q799" s="10"/>
      <c r="R799" s="10"/>
      <c r="S799" s="10"/>
      <c r="T799" s="10"/>
      <c r="U799" s="10"/>
    </row>
    <row r="800" spans="1:21" ht="12.75" x14ac:dyDescent="0.2">
      <c r="A800" s="10"/>
      <c r="B800" s="10"/>
      <c r="C800" s="10"/>
      <c r="D800" s="10"/>
      <c r="E800" s="10"/>
      <c r="F800" s="10"/>
      <c r="G800" s="10"/>
      <c r="H800" s="10"/>
      <c r="I800" s="10"/>
      <c r="J800" s="10"/>
      <c r="K800" s="10"/>
      <c r="L800" s="10"/>
      <c r="M800" s="10"/>
      <c r="N800" s="10"/>
      <c r="O800" s="10"/>
      <c r="P800" s="10"/>
      <c r="Q800" s="10"/>
      <c r="R800" s="10"/>
      <c r="S800" s="10"/>
      <c r="T800" s="10"/>
      <c r="U800" s="10"/>
    </row>
    <row r="801" spans="1:21" ht="12.75" x14ac:dyDescent="0.2">
      <c r="A801" s="10"/>
      <c r="B801" s="10"/>
      <c r="C801" s="10"/>
      <c r="D801" s="10"/>
      <c r="E801" s="10"/>
      <c r="F801" s="10"/>
      <c r="G801" s="10"/>
      <c r="H801" s="10"/>
      <c r="I801" s="10"/>
      <c r="J801" s="10"/>
      <c r="K801" s="10"/>
      <c r="L801" s="10"/>
      <c r="M801" s="10"/>
      <c r="N801" s="10"/>
      <c r="O801" s="10"/>
      <c r="P801" s="10"/>
      <c r="Q801" s="10"/>
      <c r="R801" s="10"/>
      <c r="S801" s="10"/>
      <c r="T801" s="10"/>
      <c r="U801" s="10"/>
    </row>
    <row r="802" spans="1:21" ht="12.75" x14ac:dyDescent="0.2">
      <c r="A802" s="10"/>
      <c r="B802" s="10"/>
      <c r="C802" s="10"/>
      <c r="D802" s="10"/>
      <c r="E802" s="10"/>
      <c r="F802" s="10"/>
      <c r="G802" s="10"/>
      <c r="H802" s="10"/>
      <c r="I802" s="10"/>
      <c r="J802" s="10"/>
      <c r="K802" s="10"/>
      <c r="L802" s="10"/>
      <c r="M802" s="10"/>
      <c r="N802" s="10"/>
      <c r="O802" s="10"/>
      <c r="P802" s="10"/>
      <c r="Q802" s="10"/>
      <c r="R802" s="10"/>
      <c r="S802" s="10"/>
      <c r="T802" s="10"/>
      <c r="U802" s="10"/>
    </row>
    <row r="803" spans="1:21" ht="12.75" x14ac:dyDescent="0.2">
      <c r="A803" s="10"/>
      <c r="B803" s="10"/>
      <c r="C803" s="10"/>
      <c r="D803" s="10"/>
      <c r="E803" s="10"/>
      <c r="F803" s="10"/>
      <c r="G803" s="10"/>
      <c r="H803" s="10"/>
      <c r="I803" s="10"/>
      <c r="J803" s="10"/>
      <c r="K803" s="10"/>
      <c r="L803" s="10"/>
      <c r="M803" s="10"/>
      <c r="N803" s="10"/>
      <c r="O803" s="10"/>
      <c r="P803" s="10"/>
      <c r="Q803" s="10"/>
      <c r="R803" s="10"/>
      <c r="S803" s="10"/>
      <c r="T803" s="10"/>
      <c r="U803" s="10"/>
    </row>
    <row r="804" spans="1:21" ht="12.75" x14ac:dyDescent="0.2">
      <c r="A804" s="10"/>
      <c r="B804" s="10"/>
      <c r="C804" s="10"/>
      <c r="D804" s="10"/>
      <c r="E804" s="10"/>
      <c r="F804" s="10"/>
      <c r="G804" s="10"/>
      <c r="H804" s="10"/>
      <c r="I804" s="10"/>
      <c r="J804" s="10"/>
      <c r="K804" s="10"/>
      <c r="L804" s="10"/>
      <c r="M804" s="10"/>
      <c r="N804" s="10"/>
      <c r="O804" s="10"/>
      <c r="P804" s="10"/>
      <c r="Q804" s="10"/>
      <c r="R804" s="10"/>
      <c r="S804" s="10"/>
      <c r="T804" s="10"/>
      <c r="U804" s="10"/>
    </row>
    <row r="805" spans="1:21" ht="12.75" x14ac:dyDescent="0.2">
      <c r="A805" s="10"/>
      <c r="B805" s="10"/>
      <c r="C805" s="10"/>
      <c r="D805" s="10"/>
      <c r="E805" s="10"/>
      <c r="F805" s="10"/>
      <c r="G805" s="10"/>
      <c r="H805" s="10"/>
      <c r="I805" s="10"/>
      <c r="J805" s="10"/>
      <c r="K805" s="10"/>
      <c r="L805" s="10"/>
      <c r="M805" s="10"/>
      <c r="N805" s="10"/>
      <c r="O805" s="10"/>
      <c r="P805" s="10"/>
      <c r="Q805" s="10"/>
      <c r="R805" s="10"/>
      <c r="S805" s="10"/>
      <c r="T805" s="10"/>
      <c r="U805" s="10"/>
    </row>
    <row r="806" spans="1:21" ht="12.75" x14ac:dyDescent="0.2">
      <c r="A806" s="10"/>
      <c r="B806" s="10"/>
      <c r="C806" s="10"/>
      <c r="D806" s="10"/>
      <c r="E806" s="10"/>
      <c r="F806" s="10"/>
      <c r="G806" s="10"/>
      <c r="H806" s="10"/>
      <c r="I806" s="10"/>
      <c r="J806" s="10"/>
      <c r="K806" s="10"/>
      <c r="L806" s="10"/>
      <c r="M806" s="10"/>
      <c r="N806" s="10"/>
      <c r="O806" s="10"/>
      <c r="P806" s="10"/>
      <c r="Q806" s="10"/>
      <c r="R806" s="10"/>
      <c r="S806" s="10"/>
      <c r="T806" s="10"/>
      <c r="U806" s="10"/>
    </row>
    <row r="807" spans="1:21" ht="12.75" x14ac:dyDescent="0.2">
      <c r="A807" s="10"/>
      <c r="B807" s="10"/>
      <c r="C807" s="10"/>
      <c r="D807" s="10"/>
      <c r="E807" s="10"/>
      <c r="F807" s="10"/>
      <c r="G807" s="10"/>
      <c r="H807" s="10"/>
      <c r="I807" s="10"/>
      <c r="J807" s="10"/>
      <c r="K807" s="10"/>
      <c r="L807" s="10"/>
      <c r="M807" s="10"/>
      <c r="N807" s="10"/>
      <c r="O807" s="10"/>
      <c r="P807" s="10"/>
      <c r="Q807" s="10"/>
      <c r="R807" s="10"/>
      <c r="S807" s="10"/>
      <c r="T807" s="10"/>
      <c r="U807" s="10"/>
    </row>
    <row r="808" spans="1:21" ht="12.75" x14ac:dyDescent="0.2">
      <c r="A808" s="10"/>
      <c r="B808" s="10"/>
      <c r="C808" s="10"/>
      <c r="D808" s="10"/>
      <c r="E808" s="10"/>
      <c r="F808" s="10"/>
      <c r="G808" s="10"/>
      <c r="H808" s="10"/>
      <c r="I808" s="10"/>
      <c r="J808" s="10"/>
      <c r="K808" s="10"/>
      <c r="L808" s="10"/>
      <c r="M808" s="10"/>
      <c r="N808" s="10"/>
      <c r="O808" s="10"/>
      <c r="P808" s="10"/>
      <c r="Q808" s="10"/>
      <c r="R808" s="10"/>
      <c r="S808" s="10"/>
      <c r="T808" s="10"/>
      <c r="U808" s="10"/>
    </row>
    <row r="809" spans="1:21" ht="12.75" x14ac:dyDescent="0.2">
      <c r="A809" s="10"/>
      <c r="B809" s="10"/>
      <c r="C809" s="10"/>
      <c r="D809" s="10"/>
      <c r="E809" s="10"/>
      <c r="F809" s="10"/>
      <c r="G809" s="10"/>
      <c r="H809" s="10"/>
      <c r="I809" s="10"/>
      <c r="J809" s="10"/>
      <c r="K809" s="10"/>
      <c r="L809" s="10"/>
      <c r="M809" s="10"/>
      <c r="N809" s="10"/>
      <c r="O809" s="10"/>
      <c r="P809" s="10"/>
      <c r="Q809" s="10"/>
      <c r="R809" s="10"/>
      <c r="S809" s="10"/>
      <c r="T809" s="10"/>
      <c r="U809" s="10"/>
    </row>
    <row r="810" spans="1:21" ht="12.75" x14ac:dyDescent="0.2">
      <c r="A810" s="10"/>
      <c r="B810" s="10"/>
      <c r="C810" s="10"/>
      <c r="D810" s="10"/>
      <c r="E810" s="10"/>
      <c r="F810" s="10"/>
      <c r="G810" s="10"/>
      <c r="H810" s="10"/>
      <c r="I810" s="10"/>
      <c r="J810" s="10"/>
      <c r="K810" s="10"/>
      <c r="L810" s="10"/>
      <c r="M810" s="10"/>
      <c r="N810" s="10"/>
      <c r="O810" s="10"/>
      <c r="P810" s="10"/>
      <c r="Q810" s="10"/>
      <c r="R810" s="10"/>
      <c r="S810" s="10"/>
      <c r="T810" s="10"/>
      <c r="U810" s="10"/>
    </row>
    <row r="811" spans="1:21" ht="12.75" x14ac:dyDescent="0.2">
      <c r="A811" s="10"/>
      <c r="B811" s="10"/>
      <c r="C811" s="10"/>
      <c r="D811" s="10"/>
      <c r="E811" s="10"/>
      <c r="F811" s="10"/>
      <c r="G811" s="10"/>
      <c r="H811" s="10"/>
      <c r="I811" s="10"/>
      <c r="J811" s="10"/>
      <c r="K811" s="10"/>
      <c r="L811" s="10"/>
      <c r="M811" s="10"/>
      <c r="N811" s="10"/>
      <c r="O811" s="10"/>
      <c r="P811" s="10"/>
      <c r="Q811" s="10"/>
      <c r="R811" s="10"/>
      <c r="S811" s="10"/>
      <c r="T811" s="10"/>
      <c r="U811" s="10"/>
    </row>
    <row r="812" spans="1:21" ht="12.75" x14ac:dyDescent="0.2">
      <c r="A812" s="10"/>
      <c r="B812" s="10"/>
      <c r="C812" s="10"/>
      <c r="D812" s="10"/>
      <c r="E812" s="10"/>
      <c r="F812" s="10"/>
      <c r="G812" s="10"/>
      <c r="H812" s="10"/>
      <c r="I812" s="10"/>
      <c r="J812" s="10"/>
      <c r="K812" s="10"/>
      <c r="L812" s="10"/>
      <c r="M812" s="10"/>
      <c r="N812" s="10"/>
      <c r="O812" s="10"/>
      <c r="P812" s="10"/>
      <c r="Q812" s="10"/>
      <c r="R812" s="10"/>
      <c r="S812" s="10"/>
      <c r="T812" s="10"/>
      <c r="U812" s="10"/>
    </row>
    <row r="813" spans="1:21" ht="12.75" x14ac:dyDescent="0.2">
      <c r="A813" s="10"/>
      <c r="B813" s="10"/>
      <c r="C813" s="10"/>
      <c r="D813" s="10"/>
      <c r="E813" s="10"/>
      <c r="F813" s="10"/>
      <c r="G813" s="10"/>
      <c r="H813" s="10"/>
      <c r="I813" s="10"/>
      <c r="J813" s="10"/>
      <c r="K813" s="10"/>
      <c r="L813" s="10"/>
      <c r="M813" s="10"/>
      <c r="N813" s="10"/>
      <c r="O813" s="10"/>
      <c r="P813" s="10"/>
      <c r="Q813" s="10"/>
      <c r="R813" s="10"/>
      <c r="S813" s="10"/>
      <c r="T813" s="10"/>
      <c r="U813" s="10"/>
    </row>
    <row r="814" spans="1:21" ht="12.75" x14ac:dyDescent="0.2">
      <c r="A814" s="10"/>
      <c r="B814" s="10"/>
      <c r="C814" s="10"/>
      <c r="D814" s="10"/>
      <c r="E814" s="10"/>
      <c r="F814" s="10"/>
      <c r="G814" s="10"/>
      <c r="H814" s="10"/>
      <c r="I814" s="10"/>
      <c r="J814" s="10"/>
      <c r="K814" s="10"/>
      <c r="L814" s="10"/>
      <c r="M814" s="10"/>
      <c r="N814" s="10"/>
      <c r="O814" s="10"/>
      <c r="P814" s="10"/>
      <c r="Q814" s="10"/>
      <c r="R814" s="10"/>
      <c r="S814" s="10"/>
      <c r="T814" s="10"/>
      <c r="U814" s="10"/>
    </row>
    <row r="815" spans="1:21" ht="12.75" x14ac:dyDescent="0.2">
      <c r="A815" s="10"/>
      <c r="B815" s="10"/>
      <c r="C815" s="10"/>
      <c r="D815" s="10"/>
      <c r="E815" s="10"/>
      <c r="F815" s="10"/>
      <c r="G815" s="10"/>
      <c r="H815" s="10"/>
      <c r="I815" s="10"/>
      <c r="J815" s="10"/>
      <c r="K815" s="10"/>
      <c r="L815" s="10"/>
      <c r="M815" s="10"/>
      <c r="N815" s="10"/>
      <c r="O815" s="10"/>
      <c r="P815" s="10"/>
      <c r="Q815" s="10"/>
      <c r="R815" s="10"/>
      <c r="S815" s="10"/>
      <c r="T815" s="10"/>
      <c r="U815" s="10"/>
    </row>
    <row r="816" spans="1:21" ht="12.75" x14ac:dyDescent="0.2">
      <c r="A816" s="10"/>
      <c r="B816" s="10"/>
      <c r="C816" s="10"/>
      <c r="D816" s="10"/>
      <c r="E816" s="10"/>
      <c r="F816" s="10"/>
      <c r="G816" s="10"/>
      <c r="H816" s="10"/>
      <c r="I816" s="10"/>
      <c r="J816" s="10"/>
      <c r="K816" s="10"/>
      <c r="L816" s="10"/>
      <c r="M816" s="10"/>
      <c r="N816" s="10"/>
      <c r="O816" s="10"/>
      <c r="P816" s="10"/>
      <c r="Q816" s="10"/>
      <c r="R816" s="10"/>
      <c r="S816" s="10"/>
      <c r="T816" s="10"/>
      <c r="U816" s="10"/>
    </row>
    <row r="817" spans="1:21" ht="12.75" x14ac:dyDescent="0.2">
      <c r="A817" s="10"/>
      <c r="B817" s="10"/>
      <c r="C817" s="10"/>
      <c r="D817" s="10"/>
      <c r="E817" s="10"/>
      <c r="F817" s="10"/>
      <c r="G817" s="10"/>
      <c r="H817" s="10"/>
      <c r="I817" s="10"/>
      <c r="J817" s="10"/>
      <c r="K817" s="10"/>
      <c r="L817" s="10"/>
      <c r="M817" s="10"/>
      <c r="N817" s="10"/>
      <c r="O817" s="10"/>
      <c r="P817" s="10"/>
      <c r="Q817" s="10"/>
      <c r="R817" s="10"/>
      <c r="S817" s="10"/>
      <c r="T817" s="10"/>
      <c r="U817" s="10"/>
    </row>
    <row r="818" spans="1:21" ht="12.75" x14ac:dyDescent="0.2">
      <c r="A818" s="10"/>
      <c r="B818" s="10"/>
      <c r="C818" s="10"/>
      <c r="D818" s="10"/>
      <c r="E818" s="10"/>
      <c r="F818" s="10"/>
      <c r="G818" s="10"/>
      <c r="H818" s="10"/>
      <c r="I818" s="10"/>
      <c r="J818" s="10"/>
      <c r="K818" s="10"/>
      <c r="L818" s="10"/>
      <c r="M818" s="10"/>
      <c r="N818" s="10"/>
      <c r="O818" s="10"/>
      <c r="P818" s="10"/>
      <c r="Q818" s="10"/>
      <c r="R818" s="10"/>
      <c r="S818" s="10"/>
      <c r="T818" s="10"/>
      <c r="U818" s="10"/>
    </row>
    <row r="819" spans="1:21" ht="12.75" x14ac:dyDescent="0.2">
      <c r="A819" s="10"/>
      <c r="B819" s="10"/>
      <c r="C819" s="10"/>
      <c r="D819" s="10"/>
      <c r="E819" s="10"/>
      <c r="F819" s="10"/>
      <c r="G819" s="10"/>
      <c r="H819" s="10"/>
      <c r="I819" s="10"/>
      <c r="J819" s="10"/>
      <c r="K819" s="10"/>
      <c r="L819" s="10"/>
      <c r="M819" s="10"/>
      <c r="N819" s="10"/>
      <c r="O819" s="10"/>
      <c r="P819" s="10"/>
      <c r="Q819" s="10"/>
      <c r="R819" s="10"/>
      <c r="S819" s="10"/>
      <c r="T819" s="10"/>
      <c r="U819" s="10"/>
    </row>
    <row r="820" spans="1:21" ht="12.75" x14ac:dyDescent="0.2">
      <c r="A820" s="10"/>
      <c r="B820" s="10"/>
      <c r="C820" s="10"/>
      <c r="D820" s="10"/>
      <c r="E820" s="10"/>
      <c r="F820" s="10"/>
      <c r="G820" s="10"/>
      <c r="H820" s="10"/>
      <c r="I820" s="10"/>
      <c r="J820" s="10"/>
      <c r="K820" s="10"/>
      <c r="L820" s="10"/>
      <c r="M820" s="10"/>
      <c r="N820" s="10"/>
      <c r="O820" s="10"/>
      <c r="P820" s="10"/>
      <c r="Q820" s="10"/>
      <c r="R820" s="10"/>
      <c r="S820" s="10"/>
      <c r="T820" s="10"/>
      <c r="U820" s="10"/>
    </row>
    <row r="821" spans="1:21" ht="12.75" x14ac:dyDescent="0.2">
      <c r="A821" s="10"/>
      <c r="B821" s="10"/>
      <c r="C821" s="10"/>
      <c r="D821" s="10"/>
      <c r="E821" s="10"/>
      <c r="F821" s="10"/>
      <c r="G821" s="10"/>
      <c r="H821" s="10"/>
      <c r="I821" s="10"/>
      <c r="J821" s="10"/>
      <c r="K821" s="10"/>
      <c r="L821" s="10"/>
      <c r="M821" s="10"/>
      <c r="N821" s="10"/>
      <c r="O821" s="10"/>
      <c r="P821" s="10"/>
      <c r="Q821" s="10"/>
      <c r="R821" s="10"/>
      <c r="S821" s="10"/>
      <c r="T821" s="10"/>
      <c r="U821" s="10"/>
    </row>
    <row r="822" spans="1:21" ht="12.75" x14ac:dyDescent="0.2">
      <c r="A822" s="10"/>
      <c r="B822" s="10"/>
      <c r="C822" s="10"/>
      <c r="D822" s="10"/>
      <c r="E822" s="10"/>
      <c r="F822" s="10"/>
      <c r="G822" s="10"/>
      <c r="H822" s="10"/>
      <c r="I822" s="10"/>
      <c r="J822" s="10"/>
      <c r="K822" s="10"/>
      <c r="L822" s="10"/>
      <c r="M822" s="10"/>
      <c r="N822" s="10"/>
      <c r="O822" s="10"/>
      <c r="P822" s="10"/>
      <c r="Q822" s="10"/>
      <c r="R822" s="10"/>
      <c r="S822" s="10"/>
      <c r="T822" s="10"/>
      <c r="U822" s="10"/>
    </row>
    <row r="823" spans="1:21" ht="12.75" x14ac:dyDescent="0.2">
      <c r="A823" s="10"/>
      <c r="B823" s="10"/>
      <c r="C823" s="10"/>
      <c r="D823" s="10"/>
      <c r="E823" s="10"/>
      <c r="F823" s="10"/>
      <c r="G823" s="10"/>
      <c r="H823" s="10"/>
      <c r="I823" s="10"/>
      <c r="J823" s="10"/>
      <c r="K823" s="10"/>
      <c r="L823" s="10"/>
      <c r="M823" s="10"/>
      <c r="N823" s="10"/>
      <c r="O823" s="10"/>
      <c r="P823" s="10"/>
      <c r="Q823" s="10"/>
      <c r="R823" s="10"/>
      <c r="S823" s="10"/>
      <c r="T823" s="10"/>
      <c r="U823" s="10"/>
    </row>
    <row r="824" spans="1:21" ht="12.75" x14ac:dyDescent="0.2">
      <c r="A824" s="10"/>
      <c r="B824" s="10"/>
      <c r="C824" s="10"/>
      <c r="D824" s="10"/>
      <c r="E824" s="10"/>
      <c r="F824" s="10"/>
      <c r="G824" s="10"/>
      <c r="H824" s="10"/>
      <c r="I824" s="10"/>
      <c r="J824" s="10"/>
      <c r="K824" s="10"/>
      <c r="L824" s="10"/>
      <c r="M824" s="10"/>
      <c r="N824" s="10"/>
      <c r="O824" s="10"/>
      <c r="P824" s="10"/>
      <c r="Q824" s="10"/>
      <c r="R824" s="10"/>
      <c r="S824" s="10"/>
      <c r="T824" s="10"/>
      <c r="U824" s="10"/>
    </row>
    <row r="825" spans="1:21" ht="12.75" x14ac:dyDescent="0.2">
      <c r="A825" s="10"/>
      <c r="B825" s="10"/>
      <c r="C825" s="10"/>
      <c r="D825" s="10"/>
      <c r="E825" s="10"/>
      <c r="F825" s="10"/>
      <c r="G825" s="10"/>
      <c r="H825" s="10"/>
      <c r="I825" s="10"/>
      <c r="J825" s="10"/>
      <c r="K825" s="10"/>
      <c r="L825" s="10"/>
      <c r="M825" s="10"/>
      <c r="N825" s="10"/>
      <c r="O825" s="10"/>
      <c r="P825" s="10"/>
      <c r="Q825" s="10"/>
      <c r="R825" s="10"/>
      <c r="S825" s="10"/>
      <c r="T825" s="10"/>
      <c r="U825" s="10"/>
    </row>
    <row r="826" spans="1:21" ht="12.75" x14ac:dyDescent="0.2">
      <c r="A826" s="10"/>
      <c r="B826" s="10"/>
      <c r="C826" s="10"/>
      <c r="D826" s="10"/>
      <c r="E826" s="10"/>
      <c r="F826" s="10"/>
      <c r="G826" s="10"/>
      <c r="H826" s="10"/>
      <c r="I826" s="10"/>
      <c r="J826" s="10"/>
      <c r="K826" s="10"/>
      <c r="L826" s="10"/>
      <c r="M826" s="10"/>
      <c r="N826" s="10"/>
      <c r="O826" s="10"/>
      <c r="P826" s="10"/>
      <c r="Q826" s="10"/>
      <c r="R826" s="10"/>
      <c r="S826" s="10"/>
      <c r="T826" s="10"/>
      <c r="U826" s="10"/>
    </row>
    <row r="827" spans="1:21" ht="12.75" x14ac:dyDescent="0.2">
      <c r="A827" s="10"/>
      <c r="B827" s="10"/>
      <c r="C827" s="10"/>
      <c r="D827" s="10"/>
      <c r="E827" s="10"/>
      <c r="F827" s="10"/>
      <c r="G827" s="10"/>
      <c r="H827" s="10"/>
      <c r="I827" s="10"/>
      <c r="J827" s="10"/>
      <c r="K827" s="10"/>
      <c r="L827" s="10"/>
      <c r="M827" s="10"/>
      <c r="N827" s="10"/>
      <c r="O827" s="10"/>
      <c r="P827" s="10"/>
      <c r="Q827" s="10"/>
      <c r="R827" s="10"/>
      <c r="S827" s="10"/>
      <c r="T827" s="10"/>
      <c r="U827" s="10"/>
    </row>
    <row r="828" spans="1:21" ht="12.75" x14ac:dyDescent="0.2">
      <c r="A828" s="10"/>
      <c r="B828" s="10"/>
      <c r="C828" s="10"/>
      <c r="D828" s="10"/>
      <c r="E828" s="10"/>
      <c r="F828" s="10"/>
      <c r="G828" s="10"/>
      <c r="H828" s="10"/>
      <c r="I828" s="10"/>
      <c r="J828" s="10"/>
      <c r="K828" s="10"/>
      <c r="L828" s="10"/>
      <c r="M828" s="10"/>
      <c r="N828" s="10"/>
      <c r="O828" s="10"/>
      <c r="P828" s="10"/>
      <c r="Q828" s="10"/>
      <c r="R828" s="10"/>
      <c r="S828" s="10"/>
      <c r="T828" s="10"/>
      <c r="U828" s="10"/>
    </row>
    <row r="829" spans="1:21" ht="12.75" x14ac:dyDescent="0.2">
      <c r="A829" s="10"/>
      <c r="B829" s="10"/>
      <c r="C829" s="10"/>
      <c r="D829" s="10"/>
      <c r="E829" s="10"/>
      <c r="F829" s="10"/>
      <c r="G829" s="10"/>
      <c r="H829" s="10"/>
      <c r="I829" s="10"/>
      <c r="J829" s="10"/>
      <c r="K829" s="10"/>
      <c r="L829" s="10"/>
      <c r="M829" s="10"/>
      <c r="N829" s="10"/>
      <c r="O829" s="10"/>
      <c r="P829" s="10"/>
      <c r="Q829" s="10"/>
      <c r="R829" s="10"/>
      <c r="S829" s="10"/>
      <c r="T829" s="10"/>
      <c r="U829" s="10"/>
    </row>
    <row r="830" spans="1:21" ht="12.75" x14ac:dyDescent="0.2">
      <c r="A830" s="10"/>
      <c r="B830" s="10"/>
      <c r="C830" s="10"/>
      <c r="D830" s="10"/>
      <c r="E830" s="10"/>
      <c r="F830" s="10"/>
      <c r="G830" s="10"/>
      <c r="H830" s="10"/>
      <c r="I830" s="10"/>
      <c r="J830" s="10"/>
      <c r="K830" s="10"/>
      <c r="L830" s="10"/>
      <c r="M830" s="10"/>
      <c r="N830" s="10"/>
      <c r="O830" s="10"/>
      <c r="P830" s="10"/>
      <c r="Q830" s="10"/>
      <c r="R830" s="10"/>
      <c r="S830" s="10"/>
      <c r="T830" s="10"/>
      <c r="U830" s="10"/>
    </row>
    <row r="831" spans="1:21" ht="12.75" x14ac:dyDescent="0.2">
      <c r="A831" s="10"/>
      <c r="B831" s="10"/>
      <c r="C831" s="10"/>
      <c r="D831" s="10"/>
      <c r="E831" s="10"/>
      <c r="F831" s="10"/>
      <c r="G831" s="10"/>
      <c r="H831" s="10"/>
      <c r="I831" s="10"/>
      <c r="J831" s="10"/>
      <c r="K831" s="10"/>
      <c r="L831" s="10"/>
      <c r="M831" s="10"/>
      <c r="N831" s="10"/>
      <c r="O831" s="10"/>
      <c r="P831" s="10"/>
      <c r="Q831" s="10"/>
      <c r="R831" s="10"/>
      <c r="S831" s="10"/>
      <c r="T831" s="10"/>
      <c r="U831" s="10"/>
    </row>
    <row r="832" spans="1:21" ht="12.75" x14ac:dyDescent="0.2">
      <c r="A832" s="10"/>
      <c r="B832" s="10"/>
      <c r="C832" s="10"/>
      <c r="D832" s="10"/>
      <c r="E832" s="10"/>
      <c r="F832" s="10"/>
      <c r="G832" s="10"/>
      <c r="H832" s="10"/>
      <c r="I832" s="10"/>
      <c r="J832" s="10"/>
      <c r="K832" s="10"/>
      <c r="L832" s="10"/>
      <c r="M832" s="10"/>
      <c r="N832" s="10"/>
      <c r="O832" s="10"/>
      <c r="P832" s="10"/>
      <c r="Q832" s="10"/>
      <c r="R832" s="10"/>
      <c r="S832" s="10"/>
      <c r="T832" s="10"/>
      <c r="U832" s="10"/>
    </row>
    <row r="833" spans="1:21" ht="12.75" x14ac:dyDescent="0.2">
      <c r="A833" s="10"/>
      <c r="B833" s="10"/>
      <c r="C833" s="10"/>
      <c r="D833" s="10"/>
      <c r="E833" s="10"/>
      <c r="F833" s="10"/>
      <c r="G833" s="10"/>
      <c r="H833" s="10"/>
      <c r="I833" s="10"/>
      <c r="J833" s="10"/>
      <c r="K833" s="10"/>
      <c r="L833" s="10"/>
      <c r="M833" s="10"/>
      <c r="N833" s="10"/>
      <c r="O833" s="10"/>
      <c r="P833" s="10"/>
      <c r="Q833" s="10"/>
      <c r="R833" s="10"/>
      <c r="S833" s="10"/>
      <c r="T833" s="10"/>
      <c r="U833" s="10"/>
    </row>
    <row r="834" spans="1:21" ht="12.75" x14ac:dyDescent="0.2">
      <c r="A834" s="10"/>
      <c r="B834" s="10"/>
      <c r="C834" s="10"/>
      <c r="D834" s="10"/>
      <c r="E834" s="10"/>
      <c r="F834" s="10"/>
      <c r="G834" s="10"/>
      <c r="H834" s="10"/>
      <c r="I834" s="10"/>
      <c r="J834" s="10"/>
      <c r="K834" s="10"/>
      <c r="L834" s="10"/>
      <c r="M834" s="10"/>
      <c r="N834" s="10"/>
      <c r="O834" s="10"/>
      <c r="P834" s="10"/>
      <c r="Q834" s="10"/>
      <c r="R834" s="10"/>
      <c r="S834" s="10"/>
      <c r="T834" s="10"/>
      <c r="U834" s="10"/>
    </row>
    <row r="835" spans="1:21" ht="12.75" x14ac:dyDescent="0.2">
      <c r="A835" s="10"/>
      <c r="B835" s="10"/>
      <c r="C835" s="10"/>
      <c r="D835" s="10"/>
      <c r="E835" s="10"/>
      <c r="F835" s="10"/>
      <c r="G835" s="10"/>
      <c r="H835" s="10"/>
      <c r="I835" s="10"/>
      <c r="J835" s="10"/>
      <c r="K835" s="10"/>
      <c r="L835" s="10"/>
      <c r="M835" s="10"/>
      <c r="N835" s="10"/>
      <c r="O835" s="10"/>
      <c r="P835" s="10"/>
      <c r="Q835" s="10"/>
      <c r="R835" s="10"/>
      <c r="S835" s="10"/>
      <c r="T835" s="10"/>
      <c r="U835" s="10"/>
    </row>
    <row r="836" spans="1:21" ht="12.75" x14ac:dyDescent="0.2">
      <c r="A836" s="10"/>
      <c r="B836" s="10"/>
      <c r="C836" s="10"/>
      <c r="D836" s="10"/>
      <c r="E836" s="10"/>
      <c r="F836" s="10"/>
      <c r="G836" s="10"/>
      <c r="H836" s="10"/>
      <c r="I836" s="10"/>
      <c r="J836" s="10"/>
      <c r="K836" s="10"/>
      <c r="L836" s="10"/>
      <c r="M836" s="10"/>
      <c r="N836" s="10"/>
      <c r="O836" s="10"/>
      <c r="P836" s="10"/>
      <c r="Q836" s="10"/>
      <c r="R836" s="10"/>
      <c r="S836" s="10"/>
      <c r="T836" s="10"/>
      <c r="U836" s="10"/>
    </row>
    <row r="837" spans="1:21" ht="12.75" x14ac:dyDescent="0.2">
      <c r="A837" s="10"/>
      <c r="B837" s="10"/>
      <c r="C837" s="10"/>
      <c r="D837" s="10"/>
      <c r="E837" s="10"/>
      <c r="F837" s="10"/>
      <c r="G837" s="10"/>
      <c r="H837" s="10"/>
      <c r="I837" s="10"/>
      <c r="J837" s="10"/>
      <c r="K837" s="10"/>
      <c r="L837" s="10"/>
      <c r="M837" s="10"/>
      <c r="N837" s="10"/>
      <c r="O837" s="10"/>
      <c r="P837" s="10"/>
      <c r="Q837" s="10"/>
      <c r="R837" s="10"/>
      <c r="S837" s="10"/>
      <c r="T837" s="10"/>
      <c r="U837" s="10"/>
    </row>
    <row r="838" spans="1:21" ht="12.75" x14ac:dyDescent="0.2">
      <c r="A838" s="10"/>
      <c r="B838" s="10"/>
      <c r="C838" s="10"/>
      <c r="D838" s="10"/>
      <c r="E838" s="10"/>
      <c r="F838" s="10"/>
      <c r="G838" s="10"/>
      <c r="H838" s="10"/>
      <c r="I838" s="10"/>
      <c r="J838" s="10"/>
      <c r="K838" s="10"/>
      <c r="L838" s="10"/>
      <c r="M838" s="10"/>
      <c r="N838" s="10"/>
      <c r="O838" s="10"/>
      <c r="P838" s="10"/>
      <c r="Q838" s="10"/>
      <c r="R838" s="10"/>
      <c r="S838" s="10"/>
      <c r="T838" s="10"/>
      <c r="U838" s="10"/>
    </row>
    <row r="839" spans="1:21" ht="12.75" x14ac:dyDescent="0.2">
      <c r="A839" s="10"/>
      <c r="B839" s="10"/>
      <c r="C839" s="10"/>
      <c r="D839" s="10"/>
      <c r="E839" s="10"/>
      <c r="F839" s="10"/>
      <c r="G839" s="10"/>
      <c r="H839" s="10"/>
      <c r="I839" s="10"/>
      <c r="J839" s="10"/>
      <c r="K839" s="10"/>
      <c r="L839" s="10"/>
      <c r="M839" s="10"/>
      <c r="N839" s="10"/>
      <c r="O839" s="10"/>
      <c r="P839" s="10"/>
      <c r="Q839" s="10"/>
      <c r="R839" s="10"/>
      <c r="S839" s="10"/>
      <c r="T839" s="10"/>
      <c r="U839" s="10"/>
    </row>
    <row r="840" spans="1:21" ht="12.75" x14ac:dyDescent="0.2">
      <c r="A840" s="10"/>
      <c r="B840" s="10"/>
      <c r="C840" s="10"/>
      <c r="D840" s="10"/>
      <c r="E840" s="10"/>
      <c r="F840" s="10"/>
      <c r="G840" s="10"/>
      <c r="H840" s="10"/>
      <c r="I840" s="10"/>
      <c r="J840" s="10"/>
      <c r="K840" s="10"/>
      <c r="L840" s="10"/>
      <c r="M840" s="10"/>
      <c r="N840" s="10"/>
      <c r="O840" s="10"/>
      <c r="P840" s="10"/>
      <c r="Q840" s="10"/>
      <c r="R840" s="10"/>
      <c r="S840" s="10"/>
      <c r="T840" s="10"/>
      <c r="U840" s="10"/>
    </row>
    <row r="841" spans="1:21" ht="12.75" x14ac:dyDescent="0.2">
      <c r="A841" s="10"/>
      <c r="B841" s="10"/>
      <c r="C841" s="10"/>
      <c r="D841" s="10"/>
      <c r="E841" s="10"/>
      <c r="F841" s="10"/>
      <c r="G841" s="10"/>
      <c r="H841" s="10"/>
      <c r="I841" s="10"/>
      <c r="J841" s="10"/>
      <c r="K841" s="10"/>
      <c r="L841" s="10"/>
      <c r="M841" s="10"/>
      <c r="N841" s="10"/>
      <c r="O841" s="10"/>
      <c r="P841" s="10"/>
      <c r="Q841" s="10"/>
      <c r="R841" s="10"/>
      <c r="S841" s="10"/>
      <c r="T841" s="10"/>
      <c r="U841" s="10"/>
    </row>
    <row r="842" spans="1:21" ht="12.75" x14ac:dyDescent="0.2">
      <c r="A842" s="10"/>
      <c r="B842" s="10"/>
      <c r="C842" s="10"/>
      <c r="D842" s="10"/>
      <c r="E842" s="10"/>
      <c r="F842" s="10"/>
      <c r="G842" s="10"/>
      <c r="H842" s="10"/>
      <c r="I842" s="10"/>
      <c r="J842" s="10"/>
      <c r="K842" s="10"/>
      <c r="L842" s="10"/>
      <c r="M842" s="10"/>
      <c r="N842" s="10"/>
      <c r="O842" s="10"/>
      <c r="P842" s="10"/>
      <c r="Q842" s="10"/>
      <c r="R842" s="10"/>
      <c r="S842" s="10"/>
      <c r="T842" s="10"/>
      <c r="U842" s="10"/>
    </row>
    <row r="843" spans="1:21" ht="12.75" x14ac:dyDescent="0.2">
      <c r="A843" s="10"/>
      <c r="B843" s="10"/>
      <c r="C843" s="10"/>
      <c r="D843" s="10"/>
      <c r="E843" s="10"/>
      <c r="F843" s="10"/>
      <c r="G843" s="10"/>
      <c r="H843" s="10"/>
      <c r="I843" s="10"/>
      <c r="J843" s="10"/>
      <c r="K843" s="10"/>
      <c r="L843" s="10"/>
      <c r="M843" s="10"/>
      <c r="N843" s="10"/>
      <c r="O843" s="10"/>
      <c r="P843" s="10"/>
      <c r="Q843" s="10"/>
      <c r="R843" s="10"/>
      <c r="S843" s="10"/>
      <c r="T843" s="10"/>
      <c r="U843" s="10"/>
    </row>
    <row r="844" spans="1:21" ht="12.75" x14ac:dyDescent="0.2">
      <c r="A844" s="10"/>
      <c r="B844" s="10"/>
      <c r="C844" s="10"/>
      <c r="D844" s="10"/>
      <c r="E844" s="10"/>
      <c r="F844" s="10"/>
      <c r="G844" s="10"/>
      <c r="H844" s="10"/>
      <c r="I844" s="10"/>
      <c r="J844" s="10"/>
      <c r="K844" s="10"/>
      <c r="L844" s="10"/>
      <c r="M844" s="10"/>
      <c r="N844" s="10"/>
      <c r="O844" s="10"/>
      <c r="P844" s="10"/>
      <c r="Q844" s="10"/>
      <c r="R844" s="10"/>
      <c r="S844" s="10"/>
      <c r="T844" s="10"/>
      <c r="U844" s="10"/>
    </row>
    <row r="845" spans="1:21" ht="12.75" x14ac:dyDescent="0.2">
      <c r="A845" s="10"/>
      <c r="B845" s="10"/>
      <c r="C845" s="10"/>
      <c r="D845" s="10"/>
      <c r="E845" s="10"/>
      <c r="F845" s="10"/>
      <c r="G845" s="10"/>
      <c r="H845" s="10"/>
      <c r="I845" s="10"/>
      <c r="J845" s="10"/>
      <c r="K845" s="10"/>
      <c r="L845" s="10"/>
      <c r="M845" s="10"/>
      <c r="N845" s="10"/>
      <c r="O845" s="10"/>
      <c r="P845" s="10"/>
      <c r="Q845" s="10"/>
      <c r="R845" s="10"/>
      <c r="S845" s="10"/>
      <c r="T845" s="10"/>
      <c r="U845" s="10"/>
    </row>
    <row r="846" spans="1:21" ht="12.75" x14ac:dyDescent="0.2">
      <c r="A846" s="10"/>
      <c r="B846" s="10"/>
      <c r="C846" s="10"/>
      <c r="D846" s="10"/>
      <c r="E846" s="10"/>
      <c r="F846" s="10"/>
      <c r="G846" s="10"/>
      <c r="H846" s="10"/>
      <c r="I846" s="10"/>
      <c r="J846" s="10"/>
      <c r="K846" s="10"/>
      <c r="L846" s="10"/>
      <c r="M846" s="10"/>
      <c r="N846" s="10"/>
      <c r="O846" s="10"/>
      <c r="P846" s="10"/>
      <c r="Q846" s="10"/>
      <c r="R846" s="10"/>
      <c r="S846" s="10"/>
      <c r="T846" s="10"/>
      <c r="U846" s="10"/>
    </row>
    <row r="847" spans="1:21" ht="12.75" x14ac:dyDescent="0.2">
      <c r="A847" s="10"/>
      <c r="B847" s="10"/>
      <c r="C847" s="10"/>
      <c r="D847" s="10"/>
      <c r="E847" s="10"/>
      <c r="F847" s="10"/>
      <c r="G847" s="10"/>
      <c r="H847" s="10"/>
      <c r="I847" s="10"/>
      <c r="J847" s="10"/>
      <c r="K847" s="10"/>
      <c r="L847" s="10"/>
      <c r="M847" s="10"/>
      <c r="N847" s="10"/>
      <c r="O847" s="10"/>
      <c r="P847" s="10"/>
      <c r="Q847" s="10"/>
      <c r="R847" s="10"/>
      <c r="S847" s="10"/>
      <c r="T847" s="10"/>
      <c r="U847" s="10"/>
    </row>
    <row r="848" spans="1:21" ht="12.75" x14ac:dyDescent="0.2">
      <c r="A848" s="10"/>
      <c r="B848" s="10"/>
      <c r="C848" s="10"/>
      <c r="D848" s="10"/>
      <c r="E848" s="10"/>
      <c r="F848" s="10"/>
      <c r="G848" s="10"/>
      <c r="H848" s="10"/>
      <c r="I848" s="10"/>
      <c r="J848" s="10"/>
      <c r="K848" s="10"/>
      <c r="L848" s="10"/>
      <c r="M848" s="10"/>
      <c r="N848" s="10"/>
      <c r="O848" s="10"/>
      <c r="P848" s="10"/>
      <c r="Q848" s="10"/>
      <c r="R848" s="10"/>
      <c r="S848" s="10"/>
      <c r="T848" s="10"/>
      <c r="U848" s="10"/>
    </row>
    <row r="849" spans="1:21" ht="12.75" x14ac:dyDescent="0.2">
      <c r="A849" s="10"/>
      <c r="B849" s="10"/>
      <c r="C849" s="10"/>
      <c r="D849" s="10"/>
      <c r="E849" s="10"/>
      <c r="F849" s="10"/>
      <c r="G849" s="10"/>
      <c r="H849" s="10"/>
      <c r="I849" s="10"/>
      <c r="J849" s="10"/>
      <c r="K849" s="10"/>
      <c r="L849" s="10"/>
      <c r="M849" s="10"/>
      <c r="N849" s="10"/>
      <c r="O849" s="10"/>
      <c r="P849" s="10"/>
      <c r="Q849" s="10"/>
      <c r="R849" s="10"/>
      <c r="S849" s="10"/>
      <c r="T849" s="10"/>
      <c r="U849" s="10"/>
    </row>
    <row r="850" spans="1:21" ht="12.75" x14ac:dyDescent="0.2">
      <c r="A850" s="10"/>
      <c r="B850" s="10"/>
      <c r="C850" s="10"/>
      <c r="D850" s="10"/>
      <c r="E850" s="10"/>
      <c r="F850" s="10"/>
      <c r="G850" s="10"/>
      <c r="H850" s="10"/>
      <c r="I850" s="10"/>
      <c r="J850" s="10"/>
      <c r="K850" s="10"/>
      <c r="L850" s="10"/>
      <c r="M850" s="10"/>
      <c r="N850" s="10"/>
      <c r="O850" s="10"/>
      <c r="P850" s="10"/>
      <c r="Q850" s="10"/>
      <c r="R850" s="10"/>
      <c r="S850" s="10"/>
      <c r="T850" s="10"/>
      <c r="U850" s="10"/>
    </row>
    <row r="851" spans="1:21" ht="12.75" x14ac:dyDescent="0.2">
      <c r="A851" s="10"/>
      <c r="B851" s="10"/>
      <c r="C851" s="10"/>
      <c r="D851" s="10"/>
      <c r="E851" s="10"/>
      <c r="F851" s="10"/>
      <c r="G851" s="10"/>
      <c r="H851" s="10"/>
      <c r="I851" s="10"/>
      <c r="J851" s="10"/>
      <c r="K851" s="10"/>
      <c r="L851" s="10"/>
      <c r="M851" s="10"/>
      <c r="N851" s="10"/>
      <c r="O851" s="10"/>
      <c r="P851" s="10"/>
      <c r="Q851" s="10"/>
      <c r="R851" s="10"/>
      <c r="S851" s="10"/>
      <c r="T851" s="10"/>
      <c r="U851" s="10"/>
    </row>
    <row r="852" spans="1:21" ht="12.75" x14ac:dyDescent="0.2">
      <c r="A852" s="10"/>
      <c r="B852" s="10"/>
      <c r="C852" s="10"/>
      <c r="D852" s="10"/>
      <c r="E852" s="10"/>
      <c r="F852" s="10"/>
      <c r="G852" s="10"/>
      <c r="H852" s="10"/>
      <c r="I852" s="10"/>
      <c r="J852" s="10"/>
      <c r="K852" s="10"/>
      <c r="L852" s="10"/>
      <c r="M852" s="10"/>
      <c r="N852" s="10"/>
      <c r="O852" s="10"/>
      <c r="P852" s="10"/>
      <c r="Q852" s="10"/>
      <c r="R852" s="10"/>
      <c r="S852" s="10"/>
      <c r="T852" s="10"/>
      <c r="U852" s="10"/>
    </row>
    <row r="853" spans="1:21" ht="12.75" x14ac:dyDescent="0.2">
      <c r="A853" s="10"/>
      <c r="B853" s="10"/>
      <c r="C853" s="10"/>
      <c r="D853" s="10"/>
      <c r="E853" s="10"/>
      <c r="F853" s="10"/>
      <c r="G853" s="10"/>
      <c r="H853" s="10"/>
      <c r="I853" s="10"/>
      <c r="J853" s="10"/>
      <c r="K853" s="10"/>
      <c r="L853" s="10"/>
      <c r="M853" s="10"/>
      <c r="N853" s="10"/>
      <c r="O853" s="10"/>
      <c r="P853" s="10"/>
      <c r="Q853" s="10"/>
      <c r="R853" s="10"/>
      <c r="S853" s="10"/>
      <c r="T853" s="10"/>
      <c r="U853" s="10"/>
    </row>
    <row r="854" spans="1:21" ht="12.75" x14ac:dyDescent="0.2">
      <c r="A854" s="10"/>
      <c r="B854" s="10"/>
      <c r="C854" s="10"/>
      <c r="D854" s="10"/>
      <c r="E854" s="10"/>
      <c r="F854" s="10"/>
      <c r="G854" s="10"/>
      <c r="H854" s="10"/>
      <c r="I854" s="10"/>
      <c r="J854" s="10"/>
      <c r="K854" s="10"/>
      <c r="L854" s="10"/>
      <c r="M854" s="10"/>
      <c r="N854" s="10"/>
      <c r="O854" s="10"/>
      <c r="P854" s="10"/>
      <c r="Q854" s="10"/>
      <c r="R854" s="10"/>
      <c r="S854" s="10"/>
      <c r="T854" s="10"/>
      <c r="U854" s="10"/>
    </row>
    <row r="855" spans="1:21" ht="12.75" x14ac:dyDescent="0.2">
      <c r="A855" s="10"/>
      <c r="B855" s="10"/>
      <c r="C855" s="10"/>
      <c r="D855" s="10"/>
      <c r="E855" s="10"/>
      <c r="F855" s="10"/>
      <c r="G855" s="10"/>
      <c r="H855" s="10"/>
      <c r="I855" s="10"/>
      <c r="J855" s="10"/>
      <c r="K855" s="10"/>
      <c r="L855" s="10"/>
      <c r="M855" s="10"/>
      <c r="N855" s="10"/>
      <c r="O855" s="10"/>
      <c r="P855" s="10"/>
      <c r="Q855" s="10"/>
      <c r="R855" s="10"/>
      <c r="S855" s="10"/>
      <c r="T855" s="10"/>
      <c r="U855" s="10"/>
    </row>
    <row r="856" spans="1:21" ht="12.75" x14ac:dyDescent="0.2">
      <c r="A856" s="10"/>
      <c r="B856" s="10"/>
      <c r="C856" s="10"/>
      <c r="D856" s="10"/>
      <c r="E856" s="10"/>
      <c r="F856" s="10"/>
      <c r="G856" s="10"/>
      <c r="H856" s="10"/>
      <c r="I856" s="10"/>
      <c r="J856" s="10"/>
      <c r="K856" s="10"/>
      <c r="L856" s="10"/>
      <c r="M856" s="10"/>
      <c r="N856" s="10"/>
      <c r="O856" s="10"/>
      <c r="P856" s="10"/>
      <c r="Q856" s="10"/>
      <c r="R856" s="10"/>
      <c r="S856" s="10"/>
      <c r="T856" s="10"/>
      <c r="U856" s="10"/>
    </row>
    <row r="857" spans="1:21" ht="12.75" x14ac:dyDescent="0.2">
      <c r="A857" s="10"/>
      <c r="B857" s="10"/>
      <c r="C857" s="10"/>
      <c r="D857" s="10"/>
      <c r="E857" s="10"/>
      <c r="F857" s="10"/>
      <c r="G857" s="10"/>
      <c r="H857" s="10"/>
      <c r="I857" s="10"/>
      <c r="J857" s="10"/>
      <c r="K857" s="10"/>
      <c r="L857" s="10"/>
      <c r="M857" s="10"/>
      <c r="N857" s="10"/>
      <c r="O857" s="10"/>
      <c r="P857" s="10"/>
      <c r="Q857" s="10"/>
      <c r="R857" s="10"/>
      <c r="S857" s="10"/>
      <c r="T857" s="10"/>
      <c r="U857" s="10"/>
    </row>
    <row r="858" spans="1:21" ht="12.75" x14ac:dyDescent="0.2">
      <c r="A858" s="10"/>
      <c r="B858" s="10"/>
      <c r="C858" s="10"/>
      <c r="D858" s="10"/>
      <c r="E858" s="10"/>
      <c r="F858" s="10"/>
      <c r="G858" s="10"/>
      <c r="H858" s="10"/>
      <c r="I858" s="10"/>
      <c r="J858" s="10"/>
      <c r="K858" s="10"/>
      <c r="L858" s="10"/>
      <c r="M858" s="10"/>
      <c r="N858" s="10"/>
      <c r="O858" s="10"/>
      <c r="P858" s="10"/>
      <c r="Q858" s="10"/>
      <c r="R858" s="10"/>
      <c r="S858" s="10"/>
      <c r="T858" s="10"/>
      <c r="U858" s="10"/>
    </row>
    <row r="859" spans="1:21" ht="12.75" x14ac:dyDescent="0.2">
      <c r="A859" s="10"/>
      <c r="B859" s="10"/>
      <c r="C859" s="10"/>
      <c r="D859" s="10"/>
      <c r="E859" s="10"/>
      <c r="F859" s="10"/>
      <c r="G859" s="10"/>
      <c r="H859" s="10"/>
      <c r="I859" s="10"/>
      <c r="J859" s="10"/>
      <c r="K859" s="10"/>
      <c r="L859" s="10"/>
      <c r="M859" s="10"/>
      <c r="N859" s="10"/>
      <c r="O859" s="10"/>
      <c r="P859" s="10"/>
      <c r="Q859" s="10"/>
      <c r="R859" s="10"/>
      <c r="S859" s="10"/>
      <c r="T859" s="10"/>
      <c r="U859" s="10"/>
    </row>
    <row r="860" spans="1:21" ht="12.75" x14ac:dyDescent="0.2">
      <c r="A860" s="10"/>
      <c r="B860" s="10"/>
      <c r="C860" s="10"/>
      <c r="D860" s="10"/>
      <c r="E860" s="10"/>
      <c r="F860" s="10"/>
      <c r="G860" s="10"/>
      <c r="H860" s="10"/>
      <c r="I860" s="10"/>
      <c r="J860" s="10"/>
      <c r="K860" s="10"/>
      <c r="L860" s="10"/>
      <c r="M860" s="10"/>
      <c r="N860" s="10"/>
      <c r="O860" s="10"/>
      <c r="P860" s="10"/>
      <c r="Q860" s="10"/>
      <c r="R860" s="10"/>
      <c r="S860" s="10"/>
      <c r="T860" s="10"/>
      <c r="U860" s="10"/>
    </row>
    <row r="861" spans="1:21" ht="12.75" x14ac:dyDescent="0.2">
      <c r="A861" s="10"/>
      <c r="B861" s="10"/>
      <c r="C861" s="10"/>
      <c r="D861" s="10"/>
      <c r="E861" s="10"/>
      <c r="F861" s="10"/>
      <c r="G861" s="10"/>
      <c r="H861" s="10"/>
      <c r="I861" s="10"/>
      <c r="J861" s="10"/>
      <c r="K861" s="10"/>
      <c r="L861" s="10"/>
      <c r="M861" s="10"/>
      <c r="N861" s="10"/>
      <c r="O861" s="10"/>
      <c r="P861" s="10"/>
      <c r="Q861" s="10"/>
      <c r="R861" s="10"/>
      <c r="S861" s="10"/>
      <c r="T861" s="10"/>
      <c r="U861" s="10"/>
    </row>
    <row r="862" spans="1:21" ht="12.75" x14ac:dyDescent="0.2">
      <c r="A862" s="10"/>
      <c r="B862" s="10"/>
      <c r="C862" s="10"/>
      <c r="D862" s="10"/>
      <c r="E862" s="10"/>
      <c r="F862" s="10"/>
      <c r="G862" s="10"/>
      <c r="H862" s="10"/>
      <c r="I862" s="10"/>
      <c r="J862" s="10"/>
      <c r="K862" s="10"/>
      <c r="L862" s="10"/>
      <c r="M862" s="10"/>
      <c r="N862" s="10"/>
      <c r="O862" s="10"/>
      <c r="P862" s="10"/>
      <c r="Q862" s="10"/>
      <c r="R862" s="10"/>
      <c r="S862" s="10"/>
      <c r="T862" s="10"/>
      <c r="U862" s="10"/>
    </row>
    <row r="863" spans="1:21" ht="12.75" x14ac:dyDescent="0.2">
      <c r="A863" s="10"/>
      <c r="B863" s="10"/>
      <c r="C863" s="10"/>
      <c r="D863" s="10"/>
      <c r="E863" s="10"/>
      <c r="F863" s="10"/>
      <c r="G863" s="10"/>
      <c r="H863" s="10"/>
      <c r="I863" s="10"/>
      <c r="J863" s="10"/>
      <c r="K863" s="10"/>
      <c r="L863" s="10"/>
      <c r="M863" s="10"/>
      <c r="N863" s="10"/>
      <c r="O863" s="10"/>
      <c r="P863" s="10"/>
      <c r="Q863" s="10"/>
      <c r="R863" s="10"/>
      <c r="S863" s="10"/>
      <c r="T863" s="10"/>
      <c r="U863" s="10"/>
    </row>
    <row r="864" spans="1:21" ht="12.75" x14ac:dyDescent="0.2">
      <c r="A864" s="10"/>
      <c r="B864" s="10"/>
      <c r="C864" s="10"/>
      <c r="D864" s="10"/>
      <c r="E864" s="10"/>
      <c r="F864" s="10"/>
      <c r="G864" s="10"/>
      <c r="H864" s="10"/>
      <c r="I864" s="10"/>
      <c r="J864" s="10"/>
      <c r="K864" s="10"/>
      <c r="L864" s="10"/>
      <c r="M864" s="10"/>
      <c r="N864" s="10"/>
      <c r="O864" s="10"/>
      <c r="P864" s="10"/>
      <c r="Q864" s="10"/>
      <c r="R864" s="10"/>
      <c r="S864" s="10"/>
      <c r="T864" s="10"/>
      <c r="U864" s="10"/>
    </row>
    <row r="865" spans="1:21" ht="12.75" x14ac:dyDescent="0.2">
      <c r="A865" s="10"/>
      <c r="B865" s="10"/>
      <c r="C865" s="10"/>
      <c r="D865" s="10"/>
      <c r="E865" s="10"/>
      <c r="F865" s="10"/>
      <c r="G865" s="10"/>
      <c r="H865" s="10"/>
      <c r="I865" s="10"/>
      <c r="J865" s="10"/>
      <c r="K865" s="10"/>
      <c r="L865" s="10"/>
      <c r="M865" s="10"/>
      <c r="N865" s="10"/>
      <c r="O865" s="10"/>
      <c r="P865" s="10"/>
      <c r="Q865" s="10"/>
      <c r="R865" s="10"/>
      <c r="S865" s="10"/>
      <c r="T865" s="10"/>
      <c r="U865" s="10"/>
    </row>
    <row r="866" spans="1:21" ht="12.75" x14ac:dyDescent="0.2">
      <c r="A866" s="10"/>
      <c r="B866" s="10"/>
      <c r="C866" s="10"/>
      <c r="D866" s="10"/>
      <c r="E866" s="10"/>
      <c r="F866" s="10"/>
      <c r="G866" s="10"/>
      <c r="H866" s="10"/>
      <c r="I866" s="10"/>
      <c r="J866" s="10"/>
      <c r="K866" s="10"/>
      <c r="L866" s="10"/>
      <c r="M866" s="10"/>
      <c r="N866" s="10"/>
      <c r="O866" s="10"/>
      <c r="P866" s="10"/>
      <c r="Q866" s="10"/>
      <c r="R866" s="10"/>
      <c r="S866" s="10"/>
      <c r="T866" s="10"/>
      <c r="U866" s="10"/>
    </row>
    <row r="867" spans="1:21" ht="12.75" x14ac:dyDescent="0.2">
      <c r="A867" s="10"/>
      <c r="B867" s="10"/>
      <c r="C867" s="10"/>
      <c r="D867" s="10"/>
      <c r="E867" s="10"/>
      <c r="F867" s="10"/>
      <c r="G867" s="10"/>
      <c r="H867" s="10"/>
      <c r="I867" s="10"/>
      <c r="J867" s="10"/>
      <c r="K867" s="10"/>
      <c r="L867" s="10"/>
      <c r="M867" s="10"/>
      <c r="N867" s="10"/>
      <c r="O867" s="10"/>
      <c r="P867" s="10"/>
      <c r="Q867" s="10"/>
      <c r="R867" s="10"/>
      <c r="S867" s="10"/>
      <c r="T867" s="10"/>
      <c r="U867" s="10"/>
    </row>
    <row r="868" spans="1:21" ht="12.75" x14ac:dyDescent="0.2">
      <c r="A868" s="10"/>
      <c r="B868" s="10"/>
      <c r="C868" s="10"/>
      <c r="D868" s="10"/>
      <c r="E868" s="10"/>
      <c r="F868" s="10"/>
      <c r="G868" s="10"/>
      <c r="H868" s="10"/>
      <c r="I868" s="10"/>
      <c r="J868" s="10"/>
      <c r="K868" s="10"/>
      <c r="L868" s="10"/>
      <c r="M868" s="10"/>
      <c r="N868" s="10"/>
      <c r="O868" s="10"/>
      <c r="P868" s="10"/>
      <c r="Q868" s="10"/>
      <c r="R868" s="10"/>
      <c r="S868" s="10"/>
      <c r="T868" s="10"/>
      <c r="U868" s="10"/>
    </row>
    <row r="869" spans="1:21" ht="12.75" x14ac:dyDescent="0.2">
      <c r="A869" s="10"/>
      <c r="B869" s="10"/>
      <c r="C869" s="10"/>
      <c r="D869" s="10"/>
      <c r="E869" s="10"/>
      <c r="F869" s="10"/>
      <c r="G869" s="10"/>
      <c r="H869" s="10"/>
      <c r="I869" s="10"/>
      <c r="J869" s="10"/>
      <c r="K869" s="10"/>
      <c r="L869" s="10"/>
      <c r="M869" s="10"/>
      <c r="N869" s="10"/>
      <c r="O869" s="10"/>
      <c r="P869" s="10"/>
      <c r="Q869" s="10"/>
      <c r="R869" s="10"/>
      <c r="S869" s="10"/>
      <c r="T869" s="10"/>
      <c r="U869" s="10"/>
    </row>
    <row r="870" spans="1:21" ht="12.75" x14ac:dyDescent="0.2">
      <c r="A870" s="10"/>
      <c r="B870" s="10"/>
      <c r="C870" s="10"/>
      <c r="D870" s="10"/>
      <c r="E870" s="10"/>
      <c r="F870" s="10"/>
      <c r="G870" s="10"/>
      <c r="H870" s="10"/>
      <c r="I870" s="10"/>
      <c r="J870" s="10"/>
      <c r="K870" s="10"/>
      <c r="L870" s="10"/>
      <c r="M870" s="10"/>
      <c r="N870" s="10"/>
      <c r="O870" s="10"/>
      <c r="P870" s="10"/>
      <c r="Q870" s="10"/>
      <c r="R870" s="10"/>
      <c r="S870" s="10"/>
      <c r="T870" s="10"/>
      <c r="U870" s="10"/>
    </row>
    <row r="871" spans="1:21" ht="12.75" x14ac:dyDescent="0.2">
      <c r="A871" s="10"/>
      <c r="B871" s="10"/>
      <c r="C871" s="10"/>
      <c r="D871" s="10"/>
      <c r="E871" s="10"/>
      <c r="F871" s="10"/>
      <c r="G871" s="10"/>
      <c r="H871" s="10"/>
      <c r="I871" s="10"/>
      <c r="J871" s="10"/>
      <c r="K871" s="10"/>
      <c r="L871" s="10"/>
      <c r="M871" s="10"/>
      <c r="N871" s="10"/>
      <c r="O871" s="10"/>
      <c r="P871" s="10"/>
      <c r="Q871" s="10"/>
      <c r="R871" s="10"/>
      <c r="S871" s="10"/>
      <c r="T871" s="10"/>
      <c r="U871" s="10"/>
    </row>
    <row r="872" spans="1:21" ht="12.75" x14ac:dyDescent="0.2">
      <c r="A872" s="10"/>
      <c r="B872" s="10"/>
      <c r="C872" s="10"/>
      <c r="D872" s="10"/>
      <c r="E872" s="10"/>
      <c r="F872" s="10"/>
      <c r="G872" s="10"/>
      <c r="H872" s="10"/>
      <c r="I872" s="10"/>
      <c r="J872" s="10"/>
      <c r="K872" s="10"/>
      <c r="L872" s="10"/>
      <c r="M872" s="10"/>
      <c r="N872" s="10"/>
      <c r="O872" s="10"/>
      <c r="P872" s="10"/>
      <c r="Q872" s="10"/>
      <c r="R872" s="10"/>
      <c r="S872" s="10"/>
      <c r="T872" s="10"/>
      <c r="U872" s="10"/>
    </row>
    <row r="873" spans="1:21" ht="12.75" x14ac:dyDescent="0.2">
      <c r="A873" s="10"/>
      <c r="B873" s="10"/>
      <c r="C873" s="10"/>
      <c r="D873" s="10"/>
      <c r="E873" s="10"/>
      <c r="F873" s="10"/>
      <c r="G873" s="10"/>
      <c r="H873" s="10"/>
      <c r="I873" s="10"/>
      <c r="J873" s="10"/>
      <c r="K873" s="10"/>
      <c r="L873" s="10"/>
      <c r="M873" s="10"/>
      <c r="N873" s="10"/>
      <c r="O873" s="10"/>
      <c r="P873" s="10"/>
      <c r="Q873" s="10"/>
      <c r="R873" s="10"/>
      <c r="S873" s="10"/>
      <c r="T873" s="10"/>
      <c r="U873" s="10"/>
    </row>
    <row r="874" spans="1:21" ht="12.75" x14ac:dyDescent="0.2">
      <c r="A874" s="10"/>
      <c r="B874" s="10"/>
      <c r="C874" s="10"/>
      <c r="D874" s="10"/>
      <c r="E874" s="10"/>
      <c r="F874" s="10"/>
      <c r="G874" s="10"/>
      <c r="H874" s="10"/>
      <c r="I874" s="10"/>
      <c r="J874" s="10"/>
      <c r="K874" s="10"/>
      <c r="L874" s="10"/>
      <c r="M874" s="10"/>
      <c r="N874" s="10"/>
      <c r="O874" s="10"/>
      <c r="P874" s="10"/>
      <c r="Q874" s="10"/>
      <c r="R874" s="10"/>
      <c r="S874" s="10"/>
      <c r="T874" s="10"/>
      <c r="U874" s="10"/>
    </row>
    <row r="875" spans="1:21" ht="12.75" x14ac:dyDescent="0.2">
      <c r="A875" s="10"/>
      <c r="B875" s="10"/>
      <c r="C875" s="10"/>
      <c r="D875" s="10"/>
      <c r="E875" s="10"/>
      <c r="F875" s="10"/>
      <c r="G875" s="10"/>
      <c r="H875" s="10"/>
      <c r="I875" s="10"/>
      <c r="J875" s="10"/>
      <c r="K875" s="10"/>
      <c r="L875" s="10"/>
      <c r="M875" s="10"/>
      <c r="N875" s="10"/>
      <c r="O875" s="10"/>
      <c r="P875" s="10"/>
      <c r="Q875" s="10"/>
      <c r="R875" s="10"/>
      <c r="S875" s="10"/>
      <c r="T875" s="10"/>
      <c r="U875" s="10"/>
    </row>
    <row r="876" spans="1:21" ht="12.75" x14ac:dyDescent="0.2">
      <c r="A876" s="10"/>
      <c r="B876" s="10"/>
      <c r="C876" s="10"/>
      <c r="D876" s="10"/>
      <c r="E876" s="10"/>
      <c r="F876" s="10"/>
      <c r="G876" s="10"/>
      <c r="H876" s="10"/>
      <c r="I876" s="10"/>
      <c r="J876" s="10"/>
      <c r="K876" s="10"/>
      <c r="L876" s="10"/>
      <c r="M876" s="10"/>
      <c r="N876" s="10"/>
      <c r="O876" s="10"/>
      <c r="P876" s="10"/>
      <c r="Q876" s="10"/>
      <c r="R876" s="10"/>
      <c r="S876" s="10"/>
      <c r="T876" s="10"/>
      <c r="U876" s="10"/>
    </row>
    <row r="877" spans="1:21" ht="12.75" x14ac:dyDescent="0.2">
      <c r="A877" s="10"/>
      <c r="B877" s="10"/>
      <c r="C877" s="10"/>
      <c r="D877" s="10"/>
      <c r="E877" s="10"/>
      <c r="F877" s="10"/>
      <c r="G877" s="10"/>
      <c r="H877" s="10"/>
      <c r="I877" s="10"/>
      <c r="J877" s="10"/>
      <c r="K877" s="10"/>
      <c r="L877" s="10"/>
      <c r="M877" s="10"/>
      <c r="N877" s="10"/>
      <c r="O877" s="10"/>
      <c r="P877" s="10"/>
      <c r="Q877" s="10"/>
      <c r="R877" s="10"/>
      <c r="S877" s="10"/>
      <c r="T877" s="10"/>
      <c r="U877" s="10"/>
    </row>
    <row r="878" spans="1:21" ht="12.75" x14ac:dyDescent="0.2">
      <c r="A878" s="10"/>
      <c r="B878" s="10"/>
      <c r="C878" s="10"/>
      <c r="D878" s="10"/>
      <c r="E878" s="10"/>
      <c r="F878" s="10"/>
      <c r="G878" s="10"/>
      <c r="H878" s="10"/>
      <c r="I878" s="10"/>
      <c r="J878" s="10"/>
      <c r="K878" s="10"/>
      <c r="L878" s="10"/>
      <c r="M878" s="10"/>
      <c r="N878" s="10"/>
      <c r="O878" s="10"/>
      <c r="P878" s="10"/>
      <c r="Q878" s="10"/>
      <c r="R878" s="10"/>
      <c r="S878" s="10"/>
      <c r="T878" s="10"/>
      <c r="U878" s="10"/>
    </row>
    <row r="879" spans="1:21" ht="12.75" x14ac:dyDescent="0.2">
      <c r="A879" s="10"/>
      <c r="B879" s="10"/>
      <c r="C879" s="10"/>
      <c r="D879" s="10"/>
      <c r="E879" s="10"/>
      <c r="F879" s="10"/>
      <c r="G879" s="10"/>
      <c r="H879" s="10"/>
      <c r="I879" s="10"/>
      <c r="J879" s="10"/>
      <c r="K879" s="10"/>
      <c r="L879" s="10"/>
      <c r="M879" s="10"/>
      <c r="N879" s="10"/>
      <c r="O879" s="10"/>
      <c r="P879" s="10"/>
      <c r="Q879" s="10"/>
      <c r="R879" s="10"/>
      <c r="S879" s="10"/>
      <c r="T879" s="10"/>
      <c r="U879" s="10"/>
    </row>
    <row r="880" spans="1:21" ht="12.75" x14ac:dyDescent="0.2">
      <c r="A880" s="10"/>
      <c r="B880" s="10"/>
      <c r="C880" s="10"/>
      <c r="D880" s="10"/>
      <c r="E880" s="10"/>
      <c r="F880" s="10"/>
      <c r="G880" s="10"/>
      <c r="H880" s="10"/>
      <c r="I880" s="10"/>
      <c r="J880" s="10"/>
      <c r="K880" s="10"/>
      <c r="L880" s="10"/>
      <c r="M880" s="10"/>
      <c r="N880" s="10"/>
      <c r="O880" s="10"/>
      <c r="P880" s="10"/>
      <c r="Q880" s="10"/>
      <c r="R880" s="10"/>
      <c r="S880" s="10"/>
      <c r="T880" s="10"/>
      <c r="U880" s="10"/>
    </row>
    <row r="881" spans="1:21" ht="12.75" x14ac:dyDescent="0.2">
      <c r="A881" s="10"/>
      <c r="B881" s="10"/>
      <c r="C881" s="10"/>
      <c r="D881" s="10"/>
      <c r="E881" s="10"/>
      <c r="F881" s="10"/>
      <c r="G881" s="10"/>
      <c r="H881" s="10"/>
      <c r="I881" s="10"/>
      <c r="J881" s="10"/>
      <c r="K881" s="10"/>
      <c r="L881" s="10"/>
      <c r="M881" s="10"/>
      <c r="N881" s="10"/>
      <c r="O881" s="10"/>
      <c r="P881" s="10"/>
      <c r="Q881" s="10"/>
      <c r="R881" s="10"/>
      <c r="S881" s="10"/>
      <c r="T881" s="10"/>
      <c r="U881" s="10"/>
    </row>
    <row r="882" spans="1:21" ht="12.75" x14ac:dyDescent="0.2">
      <c r="A882" s="10"/>
      <c r="B882" s="10"/>
      <c r="C882" s="10"/>
      <c r="D882" s="10"/>
      <c r="E882" s="10"/>
      <c r="F882" s="10"/>
      <c r="G882" s="10"/>
      <c r="H882" s="10"/>
      <c r="I882" s="10"/>
      <c r="J882" s="10"/>
      <c r="K882" s="10"/>
      <c r="L882" s="10"/>
      <c r="M882" s="10"/>
      <c r="N882" s="10"/>
      <c r="O882" s="10"/>
      <c r="P882" s="10"/>
      <c r="Q882" s="10"/>
      <c r="R882" s="10"/>
      <c r="S882" s="10"/>
      <c r="T882" s="10"/>
      <c r="U882" s="10"/>
    </row>
    <row r="883" spans="1:21" ht="12.75" x14ac:dyDescent="0.2">
      <c r="A883" s="10"/>
      <c r="B883" s="10"/>
      <c r="C883" s="10"/>
      <c r="D883" s="10"/>
      <c r="E883" s="10"/>
      <c r="F883" s="10"/>
      <c r="G883" s="10"/>
      <c r="H883" s="10"/>
      <c r="I883" s="10"/>
      <c r="J883" s="10"/>
      <c r="K883" s="10"/>
      <c r="L883" s="10"/>
      <c r="M883" s="10"/>
      <c r="N883" s="10"/>
      <c r="O883" s="10"/>
      <c r="P883" s="10"/>
      <c r="Q883" s="10"/>
      <c r="R883" s="10"/>
      <c r="S883" s="10"/>
      <c r="T883" s="10"/>
      <c r="U883" s="10"/>
    </row>
    <row r="884" spans="1:21" ht="12.75" x14ac:dyDescent="0.2">
      <c r="A884" s="10"/>
      <c r="B884" s="10"/>
      <c r="C884" s="10"/>
      <c r="D884" s="10"/>
      <c r="E884" s="10"/>
      <c r="F884" s="10"/>
      <c r="G884" s="10"/>
      <c r="H884" s="10"/>
      <c r="I884" s="10"/>
      <c r="J884" s="10"/>
      <c r="K884" s="10"/>
      <c r="L884" s="10"/>
      <c r="M884" s="10"/>
      <c r="N884" s="10"/>
      <c r="O884" s="10"/>
      <c r="P884" s="10"/>
      <c r="Q884" s="10"/>
      <c r="R884" s="10"/>
      <c r="S884" s="10"/>
      <c r="T884" s="10"/>
      <c r="U884" s="10"/>
    </row>
    <row r="885" spans="1:21" ht="12.75" x14ac:dyDescent="0.2">
      <c r="A885" s="10"/>
      <c r="B885" s="10"/>
      <c r="C885" s="10"/>
      <c r="D885" s="10"/>
      <c r="E885" s="10"/>
      <c r="F885" s="10"/>
      <c r="G885" s="10"/>
      <c r="H885" s="10"/>
      <c r="I885" s="10"/>
      <c r="J885" s="10"/>
      <c r="K885" s="10"/>
      <c r="L885" s="10"/>
      <c r="M885" s="10"/>
      <c r="N885" s="10"/>
      <c r="O885" s="10"/>
      <c r="P885" s="10"/>
      <c r="Q885" s="10"/>
      <c r="R885" s="10"/>
      <c r="S885" s="10"/>
      <c r="T885" s="10"/>
      <c r="U885" s="10"/>
    </row>
    <row r="886" spans="1:21" ht="12.75" x14ac:dyDescent="0.2">
      <c r="A886" s="10"/>
      <c r="B886" s="10"/>
      <c r="C886" s="10"/>
      <c r="D886" s="10"/>
      <c r="E886" s="10"/>
      <c r="F886" s="10"/>
      <c r="G886" s="10"/>
      <c r="H886" s="10"/>
      <c r="I886" s="10"/>
      <c r="J886" s="10"/>
      <c r="K886" s="10"/>
      <c r="L886" s="10"/>
      <c r="M886" s="10"/>
      <c r="N886" s="10"/>
      <c r="O886" s="10"/>
      <c r="P886" s="10"/>
      <c r="Q886" s="10"/>
      <c r="R886" s="10"/>
      <c r="S886" s="10"/>
      <c r="T886" s="10"/>
      <c r="U886" s="10"/>
    </row>
    <row r="887" spans="1:21" ht="12.75" x14ac:dyDescent="0.2">
      <c r="A887" s="10"/>
      <c r="B887" s="10"/>
      <c r="C887" s="10"/>
      <c r="D887" s="10"/>
      <c r="E887" s="10"/>
      <c r="F887" s="10"/>
      <c r="G887" s="10"/>
      <c r="H887" s="10"/>
      <c r="I887" s="10"/>
      <c r="J887" s="10"/>
      <c r="K887" s="10"/>
      <c r="L887" s="10"/>
      <c r="M887" s="10"/>
      <c r="N887" s="10"/>
      <c r="O887" s="10"/>
      <c r="P887" s="10"/>
      <c r="Q887" s="10"/>
      <c r="R887" s="10"/>
      <c r="S887" s="10"/>
      <c r="T887" s="10"/>
      <c r="U887" s="10"/>
    </row>
    <row r="888" spans="1:21" ht="12.75" x14ac:dyDescent="0.2">
      <c r="A888" s="10"/>
      <c r="B888" s="10"/>
      <c r="C888" s="10"/>
      <c r="D888" s="10"/>
      <c r="E888" s="10"/>
      <c r="F888" s="10"/>
      <c r="G888" s="10"/>
      <c r="H888" s="10"/>
      <c r="I888" s="10"/>
      <c r="J888" s="10"/>
      <c r="K888" s="10"/>
      <c r="L888" s="10"/>
      <c r="M888" s="10"/>
      <c r="N888" s="10"/>
      <c r="O888" s="10"/>
      <c r="P888" s="10"/>
      <c r="Q888" s="10"/>
      <c r="R888" s="10"/>
      <c r="S888" s="10"/>
      <c r="T888" s="10"/>
      <c r="U888" s="10"/>
    </row>
    <row r="889" spans="1:21" ht="12.75" x14ac:dyDescent="0.2">
      <c r="A889" s="10"/>
      <c r="B889" s="10"/>
      <c r="C889" s="10"/>
      <c r="D889" s="10"/>
      <c r="E889" s="10"/>
      <c r="F889" s="10"/>
      <c r="G889" s="10"/>
      <c r="H889" s="10"/>
      <c r="I889" s="10"/>
      <c r="J889" s="10"/>
      <c r="K889" s="10"/>
      <c r="L889" s="10"/>
      <c r="M889" s="10"/>
      <c r="N889" s="10"/>
      <c r="O889" s="10"/>
      <c r="P889" s="10"/>
      <c r="Q889" s="10"/>
      <c r="R889" s="10"/>
      <c r="S889" s="10"/>
      <c r="T889" s="10"/>
      <c r="U889" s="10"/>
    </row>
    <row r="890" spans="1:21" ht="12.75" x14ac:dyDescent="0.2">
      <c r="A890" s="10"/>
      <c r="B890" s="10"/>
      <c r="C890" s="10"/>
      <c r="D890" s="10"/>
      <c r="E890" s="10"/>
      <c r="F890" s="10"/>
      <c r="G890" s="10"/>
      <c r="H890" s="10"/>
      <c r="I890" s="10"/>
      <c r="J890" s="10"/>
      <c r="K890" s="10"/>
      <c r="L890" s="10"/>
      <c r="M890" s="10"/>
      <c r="N890" s="10"/>
      <c r="O890" s="10"/>
      <c r="P890" s="10"/>
      <c r="Q890" s="10"/>
      <c r="R890" s="10"/>
      <c r="S890" s="10"/>
      <c r="T890" s="10"/>
      <c r="U890" s="10"/>
    </row>
    <row r="891" spans="1:21" ht="12.75" x14ac:dyDescent="0.2">
      <c r="A891" s="10"/>
      <c r="B891" s="10"/>
      <c r="C891" s="10"/>
      <c r="D891" s="10"/>
      <c r="E891" s="10"/>
      <c r="F891" s="10"/>
      <c r="G891" s="10"/>
      <c r="H891" s="10"/>
      <c r="I891" s="10"/>
      <c r="J891" s="10"/>
      <c r="K891" s="10"/>
      <c r="L891" s="10"/>
      <c r="M891" s="10"/>
      <c r="N891" s="10"/>
      <c r="O891" s="10"/>
      <c r="P891" s="10"/>
      <c r="Q891" s="10"/>
      <c r="R891" s="10"/>
      <c r="S891" s="10"/>
      <c r="T891" s="10"/>
      <c r="U891" s="10"/>
    </row>
    <row r="892" spans="1:21" ht="12.75" x14ac:dyDescent="0.2">
      <c r="A892" s="10"/>
      <c r="B892" s="10"/>
      <c r="C892" s="10"/>
      <c r="D892" s="10"/>
      <c r="E892" s="10"/>
      <c r="F892" s="10"/>
      <c r="G892" s="10"/>
      <c r="H892" s="10"/>
      <c r="I892" s="10"/>
      <c r="J892" s="10"/>
      <c r="K892" s="10"/>
      <c r="L892" s="10"/>
      <c r="M892" s="10"/>
      <c r="N892" s="10"/>
      <c r="O892" s="10"/>
      <c r="P892" s="10"/>
      <c r="Q892" s="10"/>
      <c r="R892" s="10"/>
      <c r="S892" s="10"/>
      <c r="T892" s="10"/>
      <c r="U892" s="10"/>
    </row>
    <row r="893" spans="1:21" ht="12.75" x14ac:dyDescent="0.2">
      <c r="A893" s="10"/>
      <c r="B893" s="10"/>
      <c r="C893" s="10"/>
      <c r="D893" s="10"/>
      <c r="E893" s="10"/>
      <c r="F893" s="10"/>
      <c r="G893" s="10"/>
      <c r="H893" s="10"/>
      <c r="I893" s="10"/>
      <c r="J893" s="10"/>
      <c r="K893" s="10"/>
      <c r="L893" s="10"/>
      <c r="M893" s="10"/>
      <c r="N893" s="10"/>
      <c r="O893" s="10"/>
      <c r="P893" s="10"/>
      <c r="Q893" s="10"/>
      <c r="R893" s="10"/>
      <c r="S893" s="10"/>
      <c r="T893" s="10"/>
      <c r="U893" s="10"/>
    </row>
    <row r="894" spans="1:21" ht="12.75" x14ac:dyDescent="0.2">
      <c r="A894" s="10"/>
      <c r="B894" s="10"/>
      <c r="C894" s="10"/>
      <c r="D894" s="10"/>
      <c r="E894" s="10"/>
      <c r="F894" s="10"/>
      <c r="G894" s="10"/>
      <c r="H894" s="10"/>
      <c r="I894" s="10"/>
      <c r="J894" s="10"/>
      <c r="K894" s="10"/>
      <c r="L894" s="10"/>
      <c r="M894" s="10"/>
      <c r="N894" s="10"/>
      <c r="O894" s="10"/>
      <c r="P894" s="10"/>
      <c r="Q894" s="10"/>
      <c r="R894" s="10"/>
      <c r="S894" s="10"/>
      <c r="T894" s="10"/>
      <c r="U894" s="10"/>
    </row>
    <row r="895" spans="1:21" ht="12.75" x14ac:dyDescent="0.2">
      <c r="A895" s="10"/>
      <c r="B895" s="10"/>
      <c r="C895" s="10"/>
      <c r="D895" s="10"/>
      <c r="E895" s="10"/>
      <c r="F895" s="10"/>
      <c r="G895" s="10"/>
      <c r="H895" s="10"/>
      <c r="I895" s="10"/>
      <c r="J895" s="10"/>
      <c r="K895" s="10"/>
      <c r="L895" s="10"/>
      <c r="M895" s="10"/>
      <c r="N895" s="10"/>
      <c r="O895" s="10"/>
      <c r="P895" s="10"/>
      <c r="Q895" s="10"/>
      <c r="R895" s="10"/>
      <c r="S895" s="10"/>
      <c r="T895" s="10"/>
      <c r="U895" s="10"/>
    </row>
    <row r="896" spans="1:21" ht="12.75" x14ac:dyDescent="0.2">
      <c r="A896" s="10"/>
      <c r="B896" s="10"/>
      <c r="C896" s="10"/>
      <c r="D896" s="10"/>
      <c r="E896" s="10"/>
      <c r="F896" s="10"/>
      <c r="G896" s="10"/>
      <c r="H896" s="10"/>
      <c r="I896" s="10"/>
      <c r="J896" s="10"/>
      <c r="K896" s="10"/>
      <c r="L896" s="10"/>
      <c r="M896" s="10"/>
      <c r="N896" s="10"/>
      <c r="O896" s="10"/>
      <c r="P896" s="10"/>
      <c r="Q896" s="10"/>
      <c r="R896" s="10"/>
      <c r="S896" s="10"/>
      <c r="T896" s="10"/>
      <c r="U896" s="10"/>
    </row>
    <row r="897" spans="1:21" ht="12.75" x14ac:dyDescent="0.2">
      <c r="A897" s="10"/>
      <c r="B897" s="10"/>
      <c r="C897" s="10"/>
      <c r="D897" s="10"/>
      <c r="E897" s="10"/>
      <c r="F897" s="10"/>
      <c r="G897" s="10"/>
      <c r="H897" s="10"/>
      <c r="I897" s="10"/>
      <c r="J897" s="10"/>
      <c r="K897" s="10"/>
      <c r="L897" s="10"/>
      <c r="M897" s="10"/>
      <c r="N897" s="10"/>
      <c r="O897" s="10"/>
      <c r="P897" s="10"/>
      <c r="Q897" s="10"/>
      <c r="R897" s="10"/>
      <c r="S897" s="10"/>
      <c r="T897" s="10"/>
      <c r="U897" s="10"/>
    </row>
    <row r="898" spans="1:21" ht="12.75" x14ac:dyDescent="0.2">
      <c r="A898" s="10"/>
      <c r="B898" s="10"/>
      <c r="C898" s="10"/>
      <c r="D898" s="10"/>
      <c r="E898" s="10"/>
      <c r="F898" s="10"/>
      <c r="G898" s="10"/>
      <c r="H898" s="10"/>
      <c r="I898" s="10"/>
      <c r="J898" s="10"/>
      <c r="K898" s="10"/>
      <c r="L898" s="10"/>
      <c r="M898" s="10"/>
      <c r="N898" s="10"/>
      <c r="O898" s="10"/>
      <c r="P898" s="10"/>
      <c r="Q898" s="10"/>
      <c r="R898" s="10"/>
      <c r="S898" s="10"/>
      <c r="T898" s="10"/>
      <c r="U898" s="10"/>
    </row>
    <row r="899" spans="1:21" ht="12.75" x14ac:dyDescent="0.2">
      <c r="A899" s="10"/>
      <c r="B899" s="10"/>
      <c r="C899" s="10"/>
      <c r="D899" s="10"/>
      <c r="E899" s="10"/>
      <c r="F899" s="10"/>
      <c r="G899" s="10"/>
      <c r="H899" s="10"/>
      <c r="I899" s="10"/>
      <c r="J899" s="10"/>
      <c r="K899" s="10"/>
      <c r="L899" s="10"/>
      <c r="M899" s="10"/>
      <c r="N899" s="10"/>
      <c r="O899" s="10"/>
      <c r="P899" s="10"/>
      <c r="Q899" s="10"/>
      <c r="R899" s="10"/>
      <c r="S899" s="10"/>
      <c r="T899" s="10"/>
      <c r="U899" s="10"/>
    </row>
    <row r="900" spans="1:21" ht="12.75" x14ac:dyDescent="0.2">
      <c r="A900" s="10"/>
      <c r="B900" s="10"/>
      <c r="C900" s="10"/>
      <c r="D900" s="10"/>
      <c r="E900" s="10"/>
      <c r="F900" s="10"/>
      <c r="G900" s="10"/>
      <c r="H900" s="10"/>
      <c r="I900" s="10"/>
      <c r="J900" s="10"/>
      <c r="K900" s="10"/>
      <c r="L900" s="10"/>
      <c r="M900" s="10"/>
      <c r="N900" s="10"/>
      <c r="O900" s="10"/>
      <c r="P900" s="10"/>
      <c r="Q900" s="10"/>
      <c r="R900" s="10"/>
      <c r="S900" s="10"/>
      <c r="T900" s="10"/>
      <c r="U900" s="10"/>
    </row>
    <row r="901" spans="1:21" ht="12.75" x14ac:dyDescent="0.2">
      <c r="A901" s="10"/>
      <c r="B901" s="10"/>
      <c r="C901" s="10"/>
      <c r="D901" s="10"/>
      <c r="E901" s="10"/>
      <c r="F901" s="10"/>
      <c r="G901" s="10"/>
      <c r="H901" s="10"/>
      <c r="I901" s="10"/>
      <c r="J901" s="10"/>
      <c r="K901" s="10"/>
      <c r="L901" s="10"/>
      <c r="M901" s="10"/>
      <c r="N901" s="10"/>
      <c r="O901" s="10"/>
      <c r="P901" s="10"/>
      <c r="Q901" s="10"/>
      <c r="R901" s="10"/>
      <c r="S901" s="10"/>
      <c r="T901" s="10"/>
      <c r="U901" s="10"/>
    </row>
    <row r="902" spans="1:21" ht="12.75" x14ac:dyDescent="0.2">
      <c r="A902" s="10"/>
      <c r="B902" s="10"/>
      <c r="C902" s="10"/>
      <c r="D902" s="10"/>
      <c r="E902" s="10"/>
      <c r="F902" s="10"/>
      <c r="G902" s="10"/>
      <c r="H902" s="10"/>
      <c r="I902" s="10"/>
      <c r="J902" s="10"/>
      <c r="K902" s="10"/>
      <c r="L902" s="10"/>
      <c r="M902" s="10"/>
      <c r="N902" s="10"/>
      <c r="O902" s="10"/>
      <c r="P902" s="10"/>
      <c r="Q902" s="10"/>
      <c r="R902" s="10"/>
      <c r="S902" s="10"/>
      <c r="T902" s="10"/>
      <c r="U902" s="10"/>
    </row>
    <row r="903" spans="1:21" ht="12.75" x14ac:dyDescent="0.2">
      <c r="A903" s="10"/>
      <c r="B903" s="10"/>
      <c r="C903" s="10"/>
      <c r="D903" s="10"/>
      <c r="E903" s="10"/>
      <c r="F903" s="10"/>
      <c r="G903" s="10"/>
      <c r="H903" s="10"/>
      <c r="I903" s="10"/>
      <c r="J903" s="10"/>
      <c r="K903" s="10"/>
      <c r="L903" s="10"/>
      <c r="M903" s="10"/>
      <c r="N903" s="10"/>
      <c r="O903" s="10"/>
      <c r="P903" s="10"/>
      <c r="Q903" s="10"/>
      <c r="R903" s="10"/>
      <c r="S903" s="10"/>
      <c r="T903" s="10"/>
      <c r="U903" s="10"/>
    </row>
    <row r="904" spans="1:21" ht="12.75" x14ac:dyDescent="0.2">
      <c r="A904" s="10"/>
      <c r="B904" s="10"/>
      <c r="C904" s="10"/>
      <c r="D904" s="10"/>
      <c r="E904" s="10"/>
      <c r="F904" s="10"/>
      <c r="G904" s="10"/>
      <c r="H904" s="10"/>
      <c r="I904" s="10"/>
      <c r="J904" s="10"/>
      <c r="K904" s="10"/>
      <c r="L904" s="10"/>
      <c r="M904" s="10"/>
      <c r="N904" s="10"/>
      <c r="O904" s="10"/>
      <c r="P904" s="10"/>
      <c r="Q904" s="10"/>
      <c r="R904" s="10"/>
      <c r="S904" s="10"/>
      <c r="T904" s="10"/>
      <c r="U904" s="10"/>
    </row>
    <row r="905" spans="1:21" ht="12.75" x14ac:dyDescent="0.2">
      <c r="A905" s="10"/>
      <c r="B905" s="10"/>
      <c r="C905" s="10"/>
      <c r="D905" s="10"/>
      <c r="E905" s="10"/>
      <c r="F905" s="10"/>
      <c r="G905" s="10"/>
      <c r="H905" s="10"/>
      <c r="I905" s="10"/>
      <c r="J905" s="10"/>
      <c r="K905" s="10"/>
      <c r="L905" s="10"/>
      <c r="M905" s="10"/>
      <c r="N905" s="10"/>
      <c r="O905" s="10"/>
      <c r="P905" s="10"/>
      <c r="Q905" s="10"/>
      <c r="R905" s="10"/>
      <c r="S905" s="10"/>
      <c r="T905" s="10"/>
      <c r="U905" s="10"/>
    </row>
    <row r="906" spans="1:21" ht="12.75" x14ac:dyDescent="0.2">
      <c r="A906" s="10"/>
      <c r="B906" s="10"/>
      <c r="C906" s="10"/>
      <c r="D906" s="10"/>
      <c r="E906" s="10"/>
      <c r="F906" s="10"/>
      <c r="G906" s="10"/>
      <c r="H906" s="10"/>
      <c r="I906" s="10"/>
      <c r="J906" s="10"/>
      <c r="K906" s="10"/>
      <c r="L906" s="10"/>
      <c r="M906" s="10"/>
      <c r="N906" s="10"/>
      <c r="O906" s="10"/>
      <c r="P906" s="10"/>
      <c r="Q906" s="10"/>
      <c r="R906" s="10"/>
      <c r="S906" s="10"/>
      <c r="T906" s="10"/>
      <c r="U906" s="10"/>
    </row>
    <row r="907" spans="1:21" ht="12.75" x14ac:dyDescent="0.2">
      <c r="A907" s="10"/>
      <c r="B907" s="10"/>
      <c r="C907" s="10"/>
      <c r="D907" s="10"/>
      <c r="E907" s="10"/>
      <c r="F907" s="10"/>
      <c r="G907" s="10"/>
      <c r="H907" s="10"/>
      <c r="I907" s="10"/>
      <c r="J907" s="10"/>
      <c r="K907" s="10"/>
      <c r="L907" s="10"/>
      <c r="M907" s="10"/>
      <c r="N907" s="10"/>
      <c r="O907" s="10"/>
      <c r="P907" s="10"/>
      <c r="Q907" s="10"/>
      <c r="R907" s="10"/>
      <c r="S907" s="10"/>
      <c r="T907" s="10"/>
      <c r="U907" s="10"/>
    </row>
    <row r="908" spans="1:21" ht="12.75" x14ac:dyDescent="0.2">
      <c r="A908" s="10"/>
      <c r="B908" s="10"/>
      <c r="C908" s="10"/>
      <c r="D908" s="10"/>
      <c r="E908" s="10"/>
      <c r="F908" s="10"/>
      <c r="G908" s="10"/>
      <c r="H908" s="10"/>
      <c r="I908" s="10"/>
      <c r="J908" s="10"/>
      <c r="K908" s="10"/>
      <c r="L908" s="10"/>
      <c r="M908" s="10"/>
      <c r="N908" s="10"/>
      <c r="O908" s="10"/>
      <c r="P908" s="10"/>
      <c r="Q908" s="10"/>
      <c r="R908" s="10"/>
      <c r="S908" s="10"/>
      <c r="T908" s="10"/>
      <c r="U908" s="10"/>
    </row>
    <row r="909" spans="1:21" ht="12.75" x14ac:dyDescent="0.2">
      <c r="A909" s="10"/>
      <c r="B909" s="10"/>
      <c r="C909" s="10"/>
      <c r="D909" s="10"/>
      <c r="E909" s="10"/>
      <c r="F909" s="10"/>
      <c r="G909" s="10"/>
      <c r="H909" s="10"/>
      <c r="I909" s="10"/>
      <c r="J909" s="10"/>
      <c r="K909" s="10"/>
      <c r="L909" s="10"/>
      <c r="M909" s="10"/>
      <c r="N909" s="10"/>
      <c r="O909" s="10"/>
      <c r="P909" s="10"/>
      <c r="Q909" s="10"/>
      <c r="R909" s="10"/>
      <c r="S909" s="10"/>
      <c r="T909" s="10"/>
      <c r="U909" s="10"/>
    </row>
    <row r="910" spans="1:21" ht="12.75" x14ac:dyDescent="0.2">
      <c r="A910" s="10"/>
      <c r="B910" s="10"/>
      <c r="C910" s="10"/>
      <c r="D910" s="10"/>
      <c r="E910" s="10"/>
      <c r="F910" s="10"/>
      <c r="G910" s="10"/>
      <c r="H910" s="10"/>
      <c r="I910" s="10"/>
      <c r="J910" s="10"/>
      <c r="K910" s="10"/>
      <c r="L910" s="10"/>
      <c r="M910" s="10"/>
      <c r="N910" s="10"/>
      <c r="O910" s="10"/>
      <c r="P910" s="10"/>
      <c r="Q910" s="10"/>
      <c r="R910" s="10"/>
      <c r="S910" s="10"/>
      <c r="T910" s="10"/>
      <c r="U910" s="10"/>
    </row>
    <row r="911" spans="1:21" ht="12.75" x14ac:dyDescent="0.2">
      <c r="A911" s="10"/>
      <c r="B911" s="10"/>
      <c r="C911" s="10"/>
      <c r="D911" s="10"/>
      <c r="E911" s="10"/>
      <c r="F911" s="10"/>
      <c r="G911" s="10"/>
      <c r="H911" s="10"/>
      <c r="I911" s="10"/>
      <c r="J911" s="10"/>
      <c r="K911" s="10"/>
      <c r="L911" s="10"/>
      <c r="M911" s="10"/>
      <c r="N911" s="10"/>
      <c r="O911" s="10"/>
      <c r="P911" s="10"/>
      <c r="Q911" s="10"/>
      <c r="R911" s="10"/>
      <c r="S911" s="10"/>
      <c r="T911" s="10"/>
      <c r="U911" s="10"/>
    </row>
    <row r="912" spans="1:21" ht="12.75" x14ac:dyDescent="0.2">
      <c r="A912" s="10"/>
      <c r="B912" s="10"/>
      <c r="C912" s="10"/>
      <c r="D912" s="10"/>
      <c r="E912" s="10"/>
      <c r="F912" s="10"/>
      <c r="G912" s="10"/>
      <c r="H912" s="10"/>
      <c r="I912" s="10"/>
      <c r="J912" s="10"/>
      <c r="K912" s="10"/>
      <c r="L912" s="10"/>
      <c r="M912" s="10"/>
      <c r="N912" s="10"/>
      <c r="O912" s="10"/>
      <c r="P912" s="10"/>
      <c r="Q912" s="10"/>
      <c r="R912" s="10"/>
      <c r="S912" s="10"/>
      <c r="T912" s="10"/>
      <c r="U912" s="10"/>
    </row>
    <row r="913" spans="1:21" ht="12.75" x14ac:dyDescent="0.2">
      <c r="A913" s="10"/>
      <c r="B913" s="10"/>
      <c r="C913" s="10"/>
      <c r="D913" s="10"/>
      <c r="E913" s="10"/>
      <c r="F913" s="10"/>
      <c r="G913" s="10"/>
      <c r="H913" s="10"/>
      <c r="I913" s="10"/>
      <c r="J913" s="10"/>
      <c r="K913" s="10"/>
      <c r="L913" s="10"/>
      <c r="M913" s="10"/>
      <c r="N913" s="10"/>
      <c r="O913" s="10"/>
      <c r="P913" s="10"/>
      <c r="Q913" s="10"/>
      <c r="R913" s="10"/>
      <c r="S913" s="10"/>
      <c r="T913" s="10"/>
      <c r="U913" s="10"/>
    </row>
    <row r="914" spans="1:21" ht="12.75" x14ac:dyDescent="0.2">
      <c r="A914" s="10"/>
      <c r="B914" s="10"/>
      <c r="C914" s="10"/>
      <c r="D914" s="10"/>
      <c r="E914" s="10"/>
      <c r="F914" s="10"/>
      <c r="G914" s="10"/>
      <c r="H914" s="10"/>
      <c r="I914" s="10"/>
      <c r="J914" s="10"/>
      <c r="K914" s="10"/>
      <c r="L914" s="10"/>
      <c r="M914" s="10"/>
      <c r="N914" s="10"/>
      <c r="O914" s="10"/>
      <c r="P914" s="10"/>
      <c r="Q914" s="10"/>
      <c r="R914" s="10"/>
      <c r="S914" s="10"/>
      <c r="T914" s="10"/>
      <c r="U914" s="10"/>
    </row>
    <row r="915" spans="1:21" ht="12.75" x14ac:dyDescent="0.2">
      <c r="A915" s="10"/>
      <c r="B915" s="10"/>
      <c r="C915" s="10"/>
      <c r="D915" s="10"/>
      <c r="E915" s="10"/>
      <c r="F915" s="10"/>
      <c r="G915" s="10"/>
      <c r="H915" s="10"/>
      <c r="I915" s="10"/>
      <c r="J915" s="10"/>
      <c r="K915" s="10"/>
      <c r="L915" s="10"/>
      <c r="M915" s="10"/>
      <c r="N915" s="10"/>
      <c r="O915" s="10"/>
      <c r="P915" s="10"/>
      <c r="Q915" s="10"/>
      <c r="R915" s="10"/>
      <c r="S915" s="10"/>
      <c r="T915" s="10"/>
      <c r="U915" s="10"/>
    </row>
    <row r="916" spans="1:21" ht="12.75" x14ac:dyDescent="0.2">
      <c r="A916" s="10"/>
      <c r="B916" s="10"/>
      <c r="C916" s="10"/>
      <c r="D916" s="10"/>
      <c r="E916" s="10"/>
      <c r="F916" s="10"/>
      <c r="G916" s="10"/>
      <c r="H916" s="10"/>
      <c r="I916" s="10"/>
      <c r="J916" s="10"/>
      <c r="K916" s="10"/>
      <c r="L916" s="10"/>
      <c r="M916" s="10"/>
      <c r="N916" s="10"/>
      <c r="O916" s="10"/>
      <c r="P916" s="10"/>
      <c r="Q916" s="10"/>
      <c r="R916" s="10"/>
      <c r="S916" s="10"/>
      <c r="T916" s="10"/>
      <c r="U916" s="10"/>
    </row>
    <row r="917" spans="1:21" ht="12.75" x14ac:dyDescent="0.2">
      <c r="A917" s="10"/>
      <c r="B917" s="10"/>
      <c r="C917" s="10"/>
      <c r="D917" s="10"/>
      <c r="E917" s="10"/>
      <c r="F917" s="10"/>
      <c r="G917" s="10"/>
      <c r="H917" s="10"/>
      <c r="I917" s="10"/>
      <c r="J917" s="10"/>
      <c r="K917" s="10"/>
      <c r="L917" s="10"/>
      <c r="M917" s="10"/>
      <c r="N917" s="10"/>
      <c r="O917" s="10"/>
      <c r="P917" s="10"/>
      <c r="Q917" s="10"/>
      <c r="R917" s="10"/>
      <c r="S917" s="10"/>
      <c r="T917" s="10"/>
      <c r="U917" s="10"/>
    </row>
    <row r="918" spans="1:21" ht="12.75" x14ac:dyDescent="0.2">
      <c r="A918" s="10"/>
      <c r="B918" s="10"/>
      <c r="C918" s="10"/>
      <c r="D918" s="10"/>
      <c r="E918" s="10"/>
      <c r="F918" s="10"/>
      <c r="G918" s="10"/>
      <c r="H918" s="10"/>
      <c r="I918" s="10"/>
      <c r="J918" s="10"/>
      <c r="K918" s="10"/>
      <c r="L918" s="10"/>
      <c r="M918" s="10"/>
      <c r="N918" s="10"/>
      <c r="O918" s="10"/>
      <c r="P918" s="10"/>
      <c r="Q918" s="10"/>
      <c r="R918" s="10"/>
      <c r="S918" s="10"/>
      <c r="T918" s="10"/>
      <c r="U918" s="10"/>
    </row>
    <row r="919" spans="1:21" ht="12.75" x14ac:dyDescent="0.2">
      <c r="A919" s="10"/>
      <c r="B919" s="10"/>
      <c r="C919" s="10"/>
      <c r="D919" s="10"/>
      <c r="E919" s="10"/>
      <c r="F919" s="10"/>
      <c r="G919" s="10"/>
      <c r="H919" s="10"/>
      <c r="I919" s="10"/>
      <c r="J919" s="10"/>
      <c r="K919" s="10"/>
      <c r="L919" s="10"/>
      <c r="M919" s="10"/>
      <c r="N919" s="10"/>
      <c r="O919" s="10"/>
      <c r="P919" s="10"/>
      <c r="Q919" s="10"/>
      <c r="R919" s="10"/>
      <c r="S919" s="10"/>
      <c r="T919" s="10"/>
      <c r="U919" s="10"/>
    </row>
    <row r="920" spans="1:21" ht="12.75" x14ac:dyDescent="0.2">
      <c r="A920" s="10"/>
      <c r="B920" s="10"/>
      <c r="C920" s="10"/>
      <c r="D920" s="10"/>
      <c r="E920" s="10"/>
      <c r="F920" s="10"/>
      <c r="G920" s="10"/>
      <c r="H920" s="10"/>
      <c r="I920" s="10"/>
      <c r="J920" s="10"/>
      <c r="K920" s="10"/>
      <c r="L920" s="10"/>
      <c r="M920" s="10"/>
      <c r="N920" s="10"/>
      <c r="O920" s="10"/>
      <c r="P920" s="10"/>
      <c r="Q920" s="10"/>
      <c r="R920" s="10"/>
      <c r="S920" s="10"/>
      <c r="T920" s="10"/>
      <c r="U920" s="10"/>
    </row>
    <row r="921" spans="1:21" ht="12.75" x14ac:dyDescent="0.2">
      <c r="A921" s="10"/>
      <c r="B921" s="10"/>
      <c r="C921" s="10"/>
      <c r="D921" s="10"/>
      <c r="E921" s="10"/>
      <c r="F921" s="10"/>
      <c r="G921" s="10"/>
      <c r="H921" s="10"/>
      <c r="I921" s="10"/>
      <c r="J921" s="10"/>
      <c r="K921" s="10"/>
      <c r="L921" s="10"/>
      <c r="M921" s="10"/>
      <c r="N921" s="10"/>
      <c r="O921" s="10"/>
      <c r="P921" s="10"/>
      <c r="Q921" s="10"/>
      <c r="R921" s="10"/>
      <c r="S921" s="10"/>
      <c r="T921" s="10"/>
      <c r="U921" s="10"/>
    </row>
    <row r="922" spans="1:21" ht="12.75" x14ac:dyDescent="0.2">
      <c r="A922" s="10"/>
      <c r="B922" s="10"/>
      <c r="C922" s="10"/>
      <c r="D922" s="10"/>
      <c r="E922" s="10"/>
      <c r="F922" s="10"/>
      <c r="G922" s="10"/>
      <c r="H922" s="10"/>
      <c r="I922" s="10"/>
      <c r="J922" s="10"/>
      <c r="K922" s="10"/>
      <c r="L922" s="10"/>
      <c r="M922" s="10"/>
      <c r="N922" s="10"/>
      <c r="O922" s="10"/>
      <c r="P922" s="10"/>
      <c r="Q922" s="10"/>
      <c r="R922" s="10"/>
      <c r="S922" s="10"/>
      <c r="T922" s="10"/>
      <c r="U922" s="10"/>
    </row>
    <row r="923" spans="1:21" ht="12.75" x14ac:dyDescent="0.2">
      <c r="A923" s="10"/>
      <c r="B923" s="10"/>
      <c r="C923" s="10"/>
      <c r="D923" s="10"/>
      <c r="E923" s="10"/>
      <c r="F923" s="10"/>
      <c r="G923" s="10"/>
      <c r="H923" s="10"/>
      <c r="I923" s="10"/>
      <c r="J923" s="10"/>
      <c r="K923" s="10"/>
      <c r="L923" s="10"/>
      <c r="M923" s="10"/>
      <c r="N923" s="10"/>
      <c r="O923" s="10"/>
      <c r="P923" s="10"/>
      <c r="Q923" s="10"/>
      <c r="R923" s="10"/>
      <c r="S923" s="10"/>
      <c r="T923" s="10"/>
      <c r="U923" s="10"/>
    </row>
    <row r="924" spans="1:21" ht="12.75" x14ac:dyDescent="0.2">
      <c r="A924" s="10"/>
      <c r="B924" s="10"/>
      <c r="C924" s="10"/>
      <c r="D924" s="10"/>
      <c r="E924" s="10"/>
      <c r="F924" s="10"/>
      <c r="G924" s="10"/>
      <c r="H924" s="10"/>
      <c r="I924" s="10"/>
      <c r="J924" s="10"/>
      <c r="K924" s="10"/>
      <c r="L924" s="10"/>
      <c r="M924" s="10"/>
      <c r="N924" s="10"/>
      <c r="O924" s="10"/>
      <c r="P924" s="10"/>
      <c r="Q924" s="10"/>
      <c r="R924" s="10"/>
      <c r="S924" s="10"/>
      <c r="T924" s="10"/>
      <c r="U924" s="10"/>
    </row>
    <row r="925" spans="1:21" ht="12.75" x14ac:dyDescent="0.2">
      <c r="A925" s="10"/>
      <c r="B925" s="10"/>
      <c r="C925" s="10"/>
      <c r="D925" s="10"/>
      <c r="E925" s="10"/>
      <c r="F925" s="10"/>
      <c r="G925" s="10"/>
      <c r="H925" s="10"/>
      <c r="I925" s="10"/>
      <c r="J925" s="10"/>
      <c r="K925" s="10"/>
      <c r="L925" s="10"/>
      <c r="M925" s="10"/>
      <c r="N925" s="10"/>
      <c r="O925" s="10"/>
      <c r="P925" s="10"/>
      <c r="Q925" s="10"/>
      <c r="R925" s="10"/>
      <c r="S925" s="10"/>
      <c r="T925" s="10"/>
      <c r="U925" s="10"/>
    </row>
    <row r="926" spans="1:21" ht="12.75" x14ac:dyDescent="0.2">
      <c r="A926" s="10"/>
      <c r="B926" s="10"/>
      <c r="C926" s="10"/>
      <c r="D926" s="10"/>
      <c r="E926" s="10"/>
      <c r="F926" s="10"/>
      <c r="G926" s="10"/>
      <c r="H926" s="10"/>
      <c r="I926" s="10"/>
      <c r="J926" s="10"/>
      <c r="K926" s="10"/>
      <c r="L926" s="10"/>
      <c r="M926" s="10"/>
      <c r="N926" s="10"/>
      <c r="O926" s="10"/>
      <c r="P926" s="10"/>
      <c r="Q926" s="10"/>
      <c r="R926" s="10"/>
      <c r="S926" s="10"/>
      <c r="T926" s="10"/>
      <c r="U926" s="10"/>
    </row>
    <row r="927" spans="1:21" ht="12.75" x14ac:dyDescent="0.2">
      <c r="A927" s="10"/>
      <c r="B927" s="10"/>
      <c r="C927" s="10"/>
      <c r="D927" s="10"/>
      <c r="E927" s="10"/>
      <c r="F927" s="10"/>
      <c r="G927" s="10"/>
      <c r="H927" s="10"/>
      <c r="I927" s="10"/>
      <c r="J927" s="10"/>
      <c r="K927" s="10"/>
      <c r="L927" s="10"/>
      <c r="M927" s="10"/>
      <c r="N927" s="10"/>
      <c r="O927" s="10"/>
      <c r="P927" s="10"/>
      <c r="Q927" s="10"/>
      <c r="R927" s="10"/>
      <c r="S927" s="10"/>
      <c r="T927" s="10"/>
      <c r="U927" s="10"/>
    </row>
    <row r="928" spans="1:21" ht="12.75" x14ac:dyDescent="0.2">
      <c r="A928" s="10"/>
      <c r="B928" s="10"/>
      <c r="C928" s="10"/>
      <c r="D928" s="10"/>
      <c r="E928" s="10"/>
      <c r="F928" s="10"/>
      <c r="G928" s="10"/>
      <c r="H928" s="10"/>
      <c r="I928" s="10"/>
      <c r="J928" s="10"/>
      <c r="K928" s="10"/>
      <c r="L928" s="10"/>
      <c r="M928" s="10"/>
      <c r="N928" s="10"/>
      <c r="O928" s="10"/>
      <c r="P928" s="10"/>
      <c r="Q928" s="10"/>
      <c r="R928" s="10"/>
      <c r="S928" s="10"/>
      <c r="T928" s="10"/>
      <c r="U928" s="10"/>
    </row>
    <row r="929" spans="1:21" ht="12.75" x14ac:dyDescent="0.2">
      <c r="A929" s="10"/>
      <c r="B929" s="10"/>
      <c r="C929" s="10"/>
      <c r="D929" s="10"/>
      <c r="E929" s="10"/>
      <c r="F929" s="10"/>
      <c r="G929" s="10"/>
      <c r="H929" s="10"/>
      <c r="I929" s="10"/>
      <c r="J929" s="10"/>
      <c r="K929" s="10"/>
      <c r="L929" s="10"/>
      <c r="M929" s="10"/>
      <c r="N929" s="10"/>
      <c r="O929" s="10"/>
      <c r="P929" s="10"/>
      <c r="Q929" s="10"/>
      <c r="R929" s="10"/>
      <c r="S929" s="10"/>
      <c r="T929" s="10"/>
      <c r="U929" s="10"/>
    </row>
    <row r="930" spans="1:21" ht="12.75" x14ac:dyDescent="0.2">
      <c r="A930" s="10"/>
      <c r="B930" s="10"/>
      <c r="C930" s="10"/>
      <c r="D930" s="10"/>
      <c r="E930" s="10"/>
      <c r="F930" s="10"/>
      <c r="G930" s="10"/>
      <c r="H930" s="10"/>
      <c r="I930" s="10"/>
      <c r="J930" s="10"/>
      <c r="K930" s="10"/>
      <c r="L930" s="10"/>
      <c r="M930" s="10"/>
      <c r="N930" s="10"/>
      <c r="O930" s="10"/>
      <c r="P930" s="10"/>
      <c r="Q930" s="10"/>
      <c r="R930" s="10"/>
      <c r="S930" s="10"/>
      <c r="T930" s="10"/>
      <c r="U930" s="10"/>
    </row>
    <row r="931" spans="1:21" ht="12.75" x14ac:dyDescent="0.2">
      <c r="A931" s="10"/>
      <c r="B931" s="10"/>
      <c r="C931" s="10"/>
      <c r="D931" s="10"/>
      <c r="E931" s="10"/>
      <c r="F931" s="10"/>
      <c r="G931" s="10"/>
      <c r="H931" s="10"/>
      <c r="I931" s="10"/>
      <c r="J931" s="10"/>
      <c r="K931" s="10"/>
      <c r="L931" s="10"/>
      <c r="M931" s="10"/>
      <c r="N931" s="10"/>
      <c r="O931" s="10"/>
      <c r="P931" s="10"/>
      <c r="Q931" s="10"/>
      <c r="R931" s="10"/>
      <c r="S931" s="10"/>
      <c r="T931" s="10"/>
      <c r="U931" s="10"/>
    </row>
    <row r="932" spans="1:21" ht="12.75" x14ac:dyDescent="0.2">
      <c r="A932" s="10"/>
      <c r="B932" s="10"/>
      <c r="C932" s="10"/>
      <c r="D932" s="10"/>
      <c r="E932" s="10"/>
      <c r="F932" s="10"/>
      <c r="G932" s="10"/>
      <c r="H932" s="10"/>
      <c r="I932" s="10"/>
      <c r="J932" s="10"/>
      <c r="K932" s="10"/>
      <c r="L932" s="10"/>
      <c r="M932" s="10"/>
      <c r="N932" s="10"/>
      <c r="O932" s="10"/>
      <c r="P932" s="10"/>
      <c r="Q932" s="10"/>
      <c r="R932" s="10"/>
      <c r="S932" s="10"/>
      <c r="T932" s="10"/>
      <c r="U932" s="10"/>
    </row>
    <row r="933" spans="1:21" ht="12.75" x14ac:dyDescent="0.2">
      <c r="A933" s="10"/>
      <c r="B933" s="10"/>
      <c r="C933" s="10"/>
      <c r="D933" s="10"/>
      <c r="E933" s="10"/>
      <c r="F933" s="10"/>
      <c r="G933" s="10"/>
      <c r="H933" s="10"/>
      <c r="I933" s="10"/>
      <c r="J933" s="10"/>
      <c r="K933" s="10"/>
      <c r="L933" s="10"/>
      <c r="M933" s="10"/>
      <c r="N933" s="10"/>
      <c r="O933" s="10"/>
      <c r="P933" s="10"/>
      <c r="Q933" s="10"/>
      <c r="R933" s="10"/>
      <c r="S933" s="10"/>
      <c r="T933" s="10"/>
      <c r="U933" s="10"/>
    </row>
    <row r="934" spans="1:21" ht="12.75" x14ac:dyDescent="0.2">
      <c r="A934" s="10"/>
      <c r="B934" s="10"/>
      <c r="C934" s="10"/>
      <c r="D934" s="10"/>
      <c r="E934" s="10"/>
      <c r="F934" s="10"/>
      <c r="G934" s="10"/>
      <c r="H934" s="10"/>
      <c r="I934" s="10"/>
      <c r="J934" s="10"/>
      <c r="K934" s="10"/>
      <c r="L934" s="10"/>
      <c r="M934" s="10"/>
      <c r="N934" s="10"/>
      <c r="O934" s="10"/>
      <c r="P934" s="10"/>
      <c r="Q934" s="10"/>
      <c r="R934" s="10"/>
      <c r="S934" s="10"/>
      <c r="T934" s="10"/>
      <c r="U934" s="10"/>
    </row>
    <row r="935" spans="1:21" ht="12.75" x14ac:dyDescent="0.2">
      <c r="A935" s="10"/>
      <c r="B935" s="10"/>
      <c r="C935" s="10"/>
      <c r="D935" s="10"/>
      <c r="E935" s="10"/>
      <c r="F935" s="10"/>
      <c r="G935" s="10"/>
      <c r="H935" s="10"/>
      <c r="I935" s="10"/>
      <c r="J935" s="10"/>
      <c r="K935" s="10"/>
      <c r="L935" s="10"/>
      <c r="M935" s="10"/>
      <c r="N935" s="10"/>
      <c r="O935" s="10"/>
      <c r="P935" s="10"/>
      <c r="Q935" s="10"/>
      <c r="R935" s="10"/>
      <c r="S935" s="10"/>
      <c r="T935" s="10"/>
      <c r="U935" s="10"/>
    </row>
    <row r="936" spans="1:21" ht="12.75" x14ac:dyDescent="0.2">
      <c r="A936" s="10"/>
      <c r="B936" s="10"/>
      <c r="C936" s="10"/>
      <c r="D936" s="10"/>
      <c r="E936" s="10"/>
      <c r="F936" s="10"/>
      <c r="G936" s="10"/>
      <c r="H936" s="10"/>
      <c r="I936" s="10"/>
      <c r="J936" s="10"/>
      <c r="K936" s="10"/>
      <c r="L936" s="10"/>
      <c r="M936" s="10"/>
      <c r="N936" s="10"/>
      <c r="O936" s="10"/>
      <c r="P936" s="10"/>
      <c r="Q936" s="10"/>
      <c r="R936" s="10"/>
      <c r="S936" s="10"/>
      <c r="T936" s="10"/>
      <c r="U936" s="10"/>
    </row>
    <row r="937" spans="1:21" ht="12.75" x14ac:dyDescent="0.2">
      <c r="A937" s="10"/>
      <c r="B937" s="10"/>
      <c r="C937" s="10"/>
      <c r="D937" s="10"/>
      <c r="E937" s="10"/>
      <c r="F937" s="10"/>
      <c r="G937" s="10"/>
      <c r="H937" s="10"/>
      <c r="I937" s="10"/>
      <c r="J937" s="10"/>
      <c r="K937" s="10"/>
      <c r="L937" s="10"/>
      <c r="M937" s="10"/>
      <c r="N937" s="10"/>
      <c r="O937" s="10"/>
      <c r="P937" s="10"/>
      <c r="Q937" s="10"/>
      <c r="R937" s="10"/>
      <c r="S937" s="10"/>
      <c r="T937" s="10"/>
      <c r="U937" s="10"/>
    </row>
    <row r="938" spans="1:21" ht="12.75" x14ac:dyDescent="0.2">
      <c r="A938" s="10"/>
      <c r="B938" s="10"/>
      <c r="C938" s="10"/>
      <c r="D938" s="10"/>
      <c r="E938" s="10"/>
      <c r="F938" s="10"/>
      <c r="G938" s="10"/>
      <c r="H938" s="10"/>
      <c r="I938" s="10"/>
      <c r="J938" s="10"/>
      <c r="K938" s="10"/>
      <c r="L938" s="10"/>
      <c r="M938" s="10"/>
      <c r="N938" s="10"/>
      <c r="O938" s="10"/>
      <c r="P938" s="10"/>
      <c r="Q938" s="10"/>
      <c r="R938" s="10"/>
      <c r="S938" s="10"/>
      <c r="T938" s="10"/>
      <c r="U938" s="10"/>
    </row>
    <row r="939" spans="1:21" ht="12.75" x14ac:dyDescent="0.2">
      <c r="A939" s="10"/>
      <c r="B939" s="10"/>
      <c r="C939" s="10"/>
      <c r="D939" s="10"/>
      <c r="E939" s="10"/>
      <c r="F939" s="10"/>
      <c r="G939" s="10"/>
      <c r="H939" s="10"/>
      <c r="I939" s="10"/>
      <c r="J939" s="10"/>
      <c r="K939" s="10"/>
      <c r="L939" s="10"/>
      <c r="M939" s="10"/>
      <c r="N939" s="10"/>
      <c r="O939" s="10"/>
      <c r="P939" s="10"/>
      <c r="Q939" s="10"/>
      <c r="R939" s="10"/>
      <c r="S939" s="10"/>
      <c r="T939" s="10"/>
      <c r="U939" s="10"/>
    </row>
    <row r="940" spans="1:21" ht="12.75" x14ac:dyDescent="0.2">
      <c r="A940" s="10"/>
      <c r="B940" s="10"/>
      <c r="C940" s="10"/>
      <c r="D940" s="10"/>
      <c r="E940" s="10"/>
      <c r="F940" s="10"/>
      <c r="G940" s="10"/>
      <c r="H940" s="10"/>
      <c r="I940" s="10"/>
      <c r="J940" s="10"/>
      <c r="K940" s="10"/>
      <c r="L940" s="10"/>
      <c r="M940" s="10"/>
      <c r="N940" s="10"/>
      <c r="O940" s="10"/>
      <c r="P940" s="10"/>
      <c r="Q940" s="10"/>
      <c r="R940" s="10"/>
      <c r="S940" s="10"/>
      <c r="T940" s="10"/>
      <c r="U940" s="10"/>
    </row>
    <row r="941" spans="1:21" ht="12.75" x14ac:dyDescent="0.2">
      <c r="A941" s="10"/>
      <c r="B941" s="10"/>
      <c r="C941" s="10"/>
      <c r="D941" s="10"/>
      <c r="E941" s="10"/>
      <c r="F941" s="10"/>
      <c r="G941" s="10"/>
      <c r="H941" s="10"/>
      <c r="I941" s="10"/>
      <c r="J941" s="10"/>
      <c r="K941" s="10"/>
      <c r="L941" s="10"/>
      <c r="M941" s="10"/>
      <c r="N941" s="10"/>
      <c r="O941" s="10"/>
      <c r="P941" s="10"/>
      <c r="Q941" s="10"/>
      <c r="R941" s="10"/>
      <c r="S941" s="10"/>
      <c r="T941" s="10"/>
      <c r="U941" s="10"/>
    </row>
    <row r="942" spans="1:21" ht="12.75" x14ac:dyDescent="0.2">
      <c r="A942" s="10"/>
      <c r="B942" s="10"/>
      <c r="C942" s="10"/>
      <c r="D942" s="10"/>
      <c r="E942" s="10"/>
      <c r="F942" s="10"/>
      <c r="G942" s="10"/>
      <c r="H942" s="10"/>
      <c r="I942" s="10"/>
      <c r="J942" s="10"/>
      <c r="K942" s="10"/>
      <c r="L942" s="10"/>
      <c r="M942" s="10"/>
      <c r="N942" s="10"/>
      <c r="O942" s="10"/>
      <c r="P942" s="10"/>
      <c r="Q942" s="10"/>
      <c r="R942" s="10"/>
      <c r="S942" s="10"/>
      <c r="T942" s="10"/>
      <c r="U942" s="10"/>
    </row>
    <row r="943" spans="1:21" ht="12.75" x14ac:dyDescent="0.2">
      <c r="A943" s="10"/>
      <c r="B943" s="10"/>
      <c r="C943" s="10"/>
      <c r="D943" s="10"/>
      <c r="E943" s="10"/>
      <c r="F943" s="10"/>
      <c r="G943" s="10"/>
      <c r="H943" s="10"/>
      <c r="I943" s="10"/>
      <c r="J943" s="10"/>
      <c r="K943" s="10"/>
      <c r="L943" s="10"/>
      <c r="M943" s="10"/>
      <c r="N943" s="10"/>
      <c r="O943" s="10"/>
      <c r="P943" s="10"/>
      <c r="Q943" s="10"/>
      <c r="R943" s="10"/>
      <c r="S943" s="10"/>
      <c r="T943" s="10"/>
      <c r="U943" s="10"/>
    </row>
    <row r="944" spans="1:21" ht="12.75" x14ac:dyDescent="0.2">
      <c r="A944" s="10"/>
      <c r="B944" s="10"/>
      <c r="C944" s="10"/>
      <c r="D944" s="10"/>
      <c r="E944" s="10"/>
      <c r="F944" s="10"/>
      <c r="G944" s="10"/>
      <c r="H944" s="10"/>
      <c r="I944" s="10"/>
      <c r="J944" s="10"/>
      <c r="K944" s="10"/>
      <c r="L944" s="10"/>
      <c r="M944" s="10"/>
      <c r="N944" s="10"/>
      <c r="O944" s="10"/>
      <c r="P944" s="10"/>
      <c r="Q944" s="10"/>
      <c r="R944" s="10"/>
      <c r="S944" s="10"/>
      <c r="T944" s="10"/>
      <c r="U944" s="10"/>
    </row>
    <row r="945" spans="1:21" ht="12.75" x14ac:dyDescent="0.2">
      <c r="A945" s="10"/>
      <c r="B945" s="10"/>
      <c r="C945" s="10"/>
      <c r="D945" s="10"/>
      <c r="E945" s="10"/>
      <c r="F945" s="10"/>
      <c r="G945" s="10"/>
      <c r="H945" s="10"/>
      <c r="I945" s="10"/>
      <c r="J945" s="10"/>
      <c r="K945" s="10"/>
      <c r="L945" s="10"/>
      <c r="M945" s="10"/>
      <c r="N945" s="10"/>
      <c r="O945" s="10"/>
      <c r="P945" s="10"/>
      <c r="Q945" s="10"/>
      <c r="R945" s="10"/>
      <c r="S945" s="10"/>
      <c r="T945" s="10"/>
      <c r="U945" s="10"/>
    </row>
    <row r="946" spans="1:21" ht="12.75" x14ac:dyDescent="0.2">
      <c r="A946" s="10"/>
      <c r="B946" s="10"/>
      <c r="C946" s="10"/>
      <c r="D946" s="10"/>
      <c r="E946" s="10"/>
      <c r="F946" s="10"/>
      <c r="G946" s="10"/>
      <c r="H946" s="10"/>
      <c r="I946" s="10"/>
      <c r="J946" s="10"/>
      <c r="K946" s="10"/>
      <c r="L946" s="10"/>
      <c r="M946" s="10"/>
      <c r="N946" s="10"/>
      <c r="O946" s="10"/>
      <c r="P946" s="10"/>
      <c r="Q946" s="10"/>
      <c r="R946" s="10"/>
      <c r="S946" s="10"/>
      <c r="T946" s="10"/>
      <c r="U946" s="10"/>
    </row>
    <row r="947" spans="1:21" ht="12.75" x14ac:dyDescent="0.2">
      <c r="A947" s="10"/>
      <c r="B947" s="10"/>
      <c r="C947" s="10"/>
      <c r="D947" s="10"/>
      <c r="E947" s="10"/>
      <c r="F947" s="10"/>
      <c r="G947" s="10"/>
      <c r="H947" s="10"/>
      <c r="I947" s="10"/>
      <c r="J947" s="10"/>
      <c r="K947" s="10"/>
      <c r="L947" s="10"/>
      <c r="M947" s="10"/>
      <c r="N947" s="10"/>
      <c r="O947" s="10"/>
      <c r="P947" s="10"/>
      <c r="Q947" s="10"/>
      <c r="R947" s="10"/>
      <c r="S947" s="10"/>
      <c r="T947" s="10"/>
      <c r="U947" s="10"/>
    </row>
    <row r="948" spans="1:21" ht="12.75" x14ac:dyDescent="0.2">
      <c r="A948" s="10"/>
      <c r="B948" s="10"/>
      <c r="C948" s="10"/>
      <c r="D948" s="10"/>
      <c r="E948" s="10"/>
      <c r="F948" s="10"/>
      <c r="G948" s="10"/>
      <c r="H948" s="10"/>
      <c r="I948" s="10"/>
      <c r="J948" s="10"/>
      <c r="K948" s="10"/>
      <c r="L948" s="10"/>
      <c r="M948" s="10"/>
      <c r="N948" s="10"/>
      <c r="O948" s="10"/>
      <c r="P948" s="10"/>
      <c r="Q948" s="10"/>
      <c r="R948" s="10"/>
      <c r="S948" s="10"/>
      <c r="T948" s="10"/>
      <c r="U948" s="10"/>
    </row>
    <row r="949" spans="1:21" ht="12.75" x14ac:dyDescent="0.2">
      <c r="A949" s="10"/>
      <c r="B949" s="10"/>
      <c r="C949" s="10"/>
      <c r="D949" s="10"/>
      <c r="E949" s="10"/>
      <c r="F949" s="10"/>
      <c r="G949" s="10"/>
      <c r="H949" s="10"/>
      <c r="I949" s="10"/>
      <c r="J949" s="10"/>
      <c r="K949" s="10"/>
      <c r="L949" s="10"/>
      <c r="M949" s="10"/>
      <c r="N949" s="10"/>
      <c r="O949" s="10"/>
      <c r="P949" s="10"/>
      <c r="Q949" s="10"/>
      <c r="R949" s="10"/>
      <c r="S949" s="10"/>
      <c r="T949" s="10"/>
      <c r="U949" s="10"/>
    </row>
    <row r="950" spans="1:21" ht="12.75" x14ac:dyDescent="0.2">
      <c r="A950" s="10"/>
      <c r="B950" s="10"/>
      <c r="C950" s="10"/>
      <c r="D950" s="10"/>
      <c r="E950" s="10"/>
      <c r="F950" s="10"/>
      <c r="G950" s="10"/>
      <c r="H950" s="10"/>
      <c r="I950" s="10"/>
      <c r="J950" s="10"/>
      <c r="K950" s="10"/>
      <c r="L950" s="10"/>
      <c r="M950" s="10"/>
      <c r="N950" s="10"/>
      <c r="O950" s="10"/>
      <c r="P950" s="10"/>
      <c r="Q950" s="10"/>
      <c r="R950" s="10"/>
      <c r="S950" s="10"/>
      <c r="T950" s="10"/>
      <c r="U950" s="10"/>
    </row>
    <row r="951" spans="1:21" ht="12.75" x14ac:dyDescent="0.2">
      <c r="A951" s="10"/>
      <c r="B951" s="10"/>
      <c r="C951" s="10"/>
      <c r="D951" s="10"/>
      <c r="E951" s="10"/>
      <c r="F951" s="10"/>
      <c r="G951" s="10"/>
      <c r="H951" s="10"/>
      <c r="I951" s="10"/>
      <c r="J951" s="10"/>
      <c r="K951" s="10"/>
      <c r="L951" s="10"/>
      <c r="M951" s="10"/>
      <c r="N951" s="10"/>
      <c r="O951" s="10"/>
      <c r="P951" s="10"/>
      <c r="Q951" s="10"/>
      <c r="R951" s="10"/>
      <c r="S951" s="10"/>
      <c r="T951" s="10"/>
      <c r="U951" s="10"/>
    </row>
    <row r="952" spans="1:21" ht="12.75" x14ac:dyDescent="0.2">
      <c r="A952" s="10"/>
      <c r="B952" s="10"/>
      <c r="C952" s="10"/>
      <c r="D952" s="10"/>
      <c r="E952" s="10"/>
      <c r="F952" s="10"/>
      <c r="G952" s="10"/>
      <c r="H952" s="10"/>
      <c r="I952" s="10"/>
      <c r="J952" s="10"/>
      <c r="K952" s="10"/>
      <c r="L952" s="10"/>
      <c r="M952" s="10"/>
      <c r="N952" s="10"/>
      <c r="O952" s="10"/>
      <c r="P952" s="10"/>
      <c r="Q952" s="10"/>
      <c r="R952" s="10"/>
      <c r="S952" s="10"/>
      <c r="T952" s="10"/>
      <c r="U952" s="10"/>
    </row>
    <row r="953" spans="1:21" ht="12.75" x14ac:dyDescent="0.2">
      <c r="A953" s="10"/>
      <c r="B953" s="10"/>
      <c r="C953" s="10"/>
      <c r="D953" s="10"/>
      <c r="E953" s="10"/>
      <c r="F953" s="10"/>
      <c r="G953" s="10"/>
      <c r="H953" s="10"/>
      <c r="I953" s="10"/>
      <c r="J953" s="10"/>
      <c r="K953" s="10"/>
      <c r="L953" s="10"/>
      <c r="M953" s="10"/>
      <c r="N953" s="10"/>
      <c r="O953" s="10"/>
      <c r="P953" s="10"/>
      <c r="Q953" s="10"/>
      <c r="R953" s="10"/>
      <c r="S953" s="10"/>
      <c r="T953" s="10"/>
      <c r="U953" s="10"/>
    </row>
    <row r="954" spans="1:21" ht="12.75" x14ac:dyDescent="0.2">
      <c r="A954" s="10"/>
      <c r="B954" s="10"/>
      <c r="C954" s="10"/>
      <c r="D954" s="10"/>
      <c r="E954" s="10"/>
      <c r="F954" s="10"/>
      <c r="G954" s="10"/>
      <c r="H954" s="10"/>
      <c r="I954" s="10"/>
      <c r="J954" s="10"/>
      <c r="K954" s="10"/>
      <c r="L954" s="10"/>
      <c r="M954" s="10"/>
      <c r="N954" s="10"/>
      <c r="O954" s="10"/>
      <c r="P954" s="10"/>
      <c r="Q954" s="10"/>
      <c r="R954" s="10"/>
      <c r="S954" s="10"/>
      <c r="T954" s="10"/>
      <c r="U954" s="10"/>
    </row>
    <row r="955" spans="1:21" ht="12.75" x14ac:dyDescent="0.2">
      <c r="A955" s="10"/>
      <c r="B955" s="10"/>
      <c r="C955" s="10"/>
      <c r="D955" s="10"/>
      <c r="E955" s="10"/>
      <c r="F955" s="10"/>
      <c r="G955" s="10"/>
      <c r="H955" s="10"/>
      <c r="I955" s="10"/>
      <c r="J955" s="10"/>
      <c r="K955" s="10"/>
      <c r="L955" s="10"/>
      <c r="M955" s="10"/>
      <c r="N955" s="10"/>
      <c r="O955" s="10"/>
      <c r="P955" s="10"/>
      <c r="Q955" s="10"/>
      <c r="R955" s="10"/>
      <c r="S955" s="10"/>
      <c r="T955" s="10"/>
      <c r="U955" s="10"/>
    </row>
    <row r="956" spans="1:21" ht="12.75" x14ac:dyDescent="0.2">
      <c r="A956" s="10"/>
      <c r="B956" s="10"/>
      <c r="C956" s="10"/>
      <c r="D956" s="10"/>
      <c r="E956" s="10"/>
      <c r="F956" s="10"/>
      <c r="G956" s="10"/>
      <c r="H956" s="10"/>
      <c r="I956" s="10"/>
      <c r="J956" s="10"/>
      <c r="K956" s="10"/>
      <c r="L956" s="10"/>
      <c r="M956" s="10"/>
      <c r="N956" s="10"/>
      <c r="O956" s="10"/>
      <c r="P956" s="10"/>
      <c r="Q956" s="10"/>
      <c r="R956" s="10"/>
      <c r="S956" s="10"/>
      <c r="T956" s="10"/>
      <c r="U956" s="10"/>
    </row>
    <row r="957" spans="1:21" ht="12.75" x14ac:dyDescent="0.2">
      <c r="A957" s="10"/>
      <c r="B957" s="10"/>
      <c r="C957" s="10"/>
      <c r="D957" s="10"/>
      <c r="E957" s="10"/>
      <c r="F957" s="10"/>
      <c r="G957" s="10"/>
      <c r="H957" s="10"/>
      <c r="I957" s="10"/>
      <c r="J957" s="10"/>
      <c r="K957" s="10"/>
      <c r="L957" s="10"/>
      <c r="M957" s="10"/>
      <c r="N957" s="10"/>
      <c r="O957" s="10"/>
      <c r="P957" s="10"/>
      <c r="Q957" s="10"/>
      <c r="R957" s="10"/>
      <c r="S957" s="10"/>
      <c r="T957" s="10"/>
      <c r="U957" s="10"/>
    </row>
    <row r="958" spans="1:21" ht="12.75" x14ac:dyDescent="0.2">
      <c r="A958" s="10"/>
      <c r="B958" s="10"/>
      <c r="C958" s="10"/>
      <c r="D958" s="10"/>
      <c r="E958" s="10"/>
      <c r="F958" s="10"/>
      <c r="G958" s="10"/>
      <c r="H958" s="10"/>
      <c r="I958" s="10"/>
      <c r="J958" s="10"/>
      <c r="K958" s="10"/>
      <c r="L958" s="10"/>
      <c r="M958" s="10"/>
      <c r="N958" s="10"/>
      <c r="O958" s="10"/>
      <c r="P958" s="10"/>
      <c r="Q958" s="10"/>
      <c r="R958" s="10"/>
      <c r="S958" s="10"/>
      <c r="T958" s="10"/>
      <c r="U958" s="10"/>
    </row>
    <row r="959" spans="1:21" ht="12.75" x14ac:dyDescent="0.2">
      <c r="A959" s="10"/>
      <c r="B959" s="10"/>
      <c r="C959" s="10"/>
      <c r="D959" s="10"/>
      <c r="E959" s="10"/>
      <c r="F959" s="10"/>
      <c r="G959" s="10"/>
      <c r="H959" s="10"/>
      <c r="I959" s="10"/>
      <c r="J959" s="10"/>
      <c r="K959" s="10"/>
      <c r="L959" s="10"/>
      <c r="M959" s="10"/>
      <c r="N959" s="10"/>
      <c r="O959" s="10"/>
      <c r="P959" s="10"/>
      <c r="Q959" s="10"/>
      <c r="R959" s="10"/>
      <c r="S959" s="10"/>
      <c r="T959" s="10"/>
      <c r="U959" s="10"/>
    </row>
    <row r="960" spans="1:21" ht="12.75" x14ac:dyDescent="0.2">
      <c r="A960" s="10"/>
      <c r="B960" s="10"/>
      <c r="C960" s="10"/>
      <c r="D960" s="10"/>
      <c r="E960" s="10"/>
      <c r="F960" s="10"/>
      <c r="G960" s="10"/>
      <c r="H960" s="10"/>
      <c r="I960" s="10"/>
      <c r="J960" s="10"/>
      <c r="K960" s="10"/>
      <c r="L960" s="10"/>
      <c r="M960" s="10"/>
      <c r="N960" s="10"/>
      <c r="O960" s="10"/>
      <c r="P960" s="10"/>
      <c r="Q960" s="10"/>
      <c r="R960" s="10"/>
      <c r="S960" s="10"/>
      <c r="T960" s="10"/>
      <c r="U960" s="10"/>
    </row>
    <row r="961" spans="1:21" ht="12.75" x14ac:dyDescent="0.2">
      <c r="A961" s="10"/>
      <c r="B961" s="10"/>
      <c r="C961" s="10"/>
      <c r="D961" s="10"/>
      <c r="E961" s="10"/>
      <c r="F961" s="10"/>
      <c r="G961" s="10"/>
      <c r="H961" s="10"/>
      <c r="I961" s="10"/>
      <c r="J961" s="10"/>
      <c r="K961" s="10"/>
      <c r="L961" s="10"/>
      <c r="M961" s="10"/>
      <c r="N961" s="10"/>
      <c r="O961" s="10"/>
      <c r="P961" s="10"/>
      <c r="Q961" s="10"/>
      <c r="R961" s="10"/>
      <c r="S961" s="10"/>
      <c r="T961" s="10"/>
      <c r="U961" s="10"/>
    </row>
    <row r="962" spans="1:21" ht="12.75" x14ac:dyDescent="0.2">
      <c r="A962" s="10"/>
      <c r="B962" s="10"/>
      <c r="C962" s="10"/>
      <c r="D962" s="10"/>
      <c r="E962" s="10"/>
      <c r="F962" s="10"/>
      <c r="G962" s="10"/>
      <c r="H962" s="10"/>
      <c r="I962" s="10"/>
      <c r="J962" s="10"/>
      <c r="K962" s="10"/>
      <c r="L962" s="10"/>
      <c r="M962" s="10"/>
      <c r="N962" s="10"/>
      <c r="O962" s="10"/>
      <c r="P962" s="10"/>
      <c r="Q962" s="10"/>
      <c r="R962" s="10"/>
      <c r="S962" s="10"/>
      <c r="T962" s="10"/>
      <c r="U962" s="10"/>
    </row>
    <row r="963" spans="1:21" ht="12.75" x14ac:dyDescent="0.2">
      <c r="A963" s="10"/>
      <c r="B963" s="10"/>
      <c r="C963" s="10"/>
      <c r="D963" s="10"/>
      <c r="E963" s="10"/>
      <c r="F963" s="10"/>
      <c r="G963" s="10"/>
      <c r="H963" s="10"/>
      <c r="I963" s="10"/>
      <c r="J963" s="10"/>
      <c r="K963" s="10"/>
      <c r="L963" s="10"/>
      <c r="M963" s="10"/>
      <c r="N963" s="10"/>
      <c r="O963" s="10"/>
      <c r="P963" s="10"/>
      <c r="Q963" s="10"/>
      <c r="R963" s="10"/>
      <c r="S963" s="10"/>
      <c r="T963" s="10"/>
      <c r="U963" s="10"/>
    </row>
    <row r="964" spans="1:21" ht="12.75" x14ac:dyDescent="0.2">
      <c r="A964" s="10"/>
      <c r="B964" s="10"/>
      <c r="C964" s="10"/>
      <c r="D964" s="10"/>
      <c r="E964" s="10"/>
      <c r="F964" s="10"/>
      <c r="G964" s="10"/>
      <c r="H964" s="10"/>
      <c r="I964" s="10"/>
      <c r="J964" s="10"/>
      <c r="K964" s="10"/>
      <c r="L964" s="10"/>
      <c r="M964" s="10"/>
      <c r="N964" s="10"/>
      <c r="O964" s="10"/>
      <c r="P964" s="10"/>
      <c r="Q964" s="10"/>
      <c r="R964" s="10"/>
      <c r="S964" s="10"/>
      <c r="T964" s="10"/>
      <c r="U964" s="10"/>
    </row>
    <row r="965" spans="1:21" ht="12.75" x14ac:dyDescent="0.2">
      <c r="A965" s="10"/>
      <c r="B965" s="10"/>
      <c r="C965" s="10"/>
      <c r="D965" s="10"/>
      <c r="E965" s="10"/>
      <c r="F965" s="10"/>
      <c r="G965" s="10"/>
      <c r="H965" s="10"/>
      <c r="I965" s="10"/>
      <c r="J965" s="10"/>
      <c r="K965" s="10"/>
      <c r="L965" s="10"/>
      <c r="M965" s="10"/>
      <c r="N965" s="10"/>
      <c r="O965" s="10"/>
      <c r="P965" s="10"/>
      <c r="Q965" s="10"/>
      <c r="R965" s="10"/>
      <c r="S965" s="10"/>
      <c r="T965" s="10"/>
      <c r="U965" s="10"/>
    </row>
    <row r="966" spans="1:21" ht="12.75" x14ac:dyDescent="0.2">
      <c r="A966" s="10"/>
      <c r="B966" s="10"/>
      <c r="C966" s="10"/>
      <c r="D966" s="10"/>
      <c r="E966" s="10"/>
      <c r="F966" s="10"/>
      <c r="G966" s="10"/>
      <c r="H966" s="10"/>
      <c r="I966" s="10"/>
      <c r="J966" s="10"/>
      <c r="K966" s="10"/>
      <c r="L966" s="10"/>
      <c r="M966" s="10"/>
      <c r="N966" s="10"/>
      <c r="O966" s="10"/>
      <c r="P966" s="10"/>
      <c r="Q966" s="10"/>
      <c r="R966" s="10"/>
      <c r="S966" s="10"/>
      <c r="T966" s="10"/>
      <c r="U966" s="10"/>
    </row>
    <row r="967" spans="1:21" ht="12.75" x14ac:dyDescent="0.2">
      <c r="A967" s="10"/>
      <c r="B967" s="10"/>
      <c r="C967" s="10"/>
      <c r="D967" s="10"/>
      <c r="E967" s="10"/>
      <c r="F967" s="10"/>
      <c r="G967" s="10"/>
      <c r="H967" s="10"/>
      <c r="I967" s="10"/>
      <c r="J967" s="10"/>
      <c r="K967" s="10"/>
      <c r="L967" s="10"/>
      <c r="M967" s="10"/>
      <c r="N967" s="10"/>
      <c r="O967" s="10"/>
      <c r="P967" s="10"/>
      <c r="Q967" s="10"/>
      <c r="R967" s="10"/>
      <c r="S967" s="10"/>
      <c r="T967" s="10"/>
      <c r="U967" s="10"/>
    </row>
    <row r="968" spans="1:21" ht="12.75" x14ac:dyDescent="0.2">
      <c r="A968" s="10"/>
      <c r="B968" s="10"/>
      <c r="C968" s="10"/>
      <c r="D968" s="10"/>
      <c r="E968" s="10"/>
      <c r="F968" s="10"/>
      <c r="G968" s="10"/>
      <c r="H968" s="10"/>
      <c r="I968" s="10"/>
      <c r="J968" s="10"/>
      <c r="K968" s="10"/>
      <c r="L968" s="10"/>
      <c r="M968" s="10"/>
      <c r="N968" s="10"/>
      <c r="O968" s="10"/>
      <c r="P968" s="10"/>
      <c r="Q968" s="10"/>
      <c r="R968" s="10"/>
      <c r="S968" s="10"/>
      <c r="T968" s="10"/>
      <c r="U968" s="10"/>
    </row>
    <row r="969" spans="1:21" ht="12.75" x14ac:dyDescent="0.2">
      <c r="A969" s="10"/>
      <c r="B969" s="10"/>
      <c r="C969" s="10"/>
      <c r="D969" s="10"/>
      <c r="E969" s="10"/>
      <c r="F969" s="10"/>
      <c r="G969" s="10"/>
      <c r="H969" s="10"/>
      <c r="I969" s="10"/>
      <c r="J969" s="10"/>
      <c r="K969" s="10"/>
      <c r="L969" s="10"/>
      <c r="M969" s="10"/>
      <c r="N969" s="10"/>
      <c r="O969" s="10"/>
      <c r="P969" s="10"/>
      <c r="Q969" s="10"/>
      <c r="R969" s="10"/>
      <c r="S969" s="10"/>
      <c r="T969" s="10"/>
      <c r="U969" s="10"/>
    </row>
    <row r="970" spans="1:21" ht="12.75" x14ac:dyDescent="0.2">
      <c r="A970" s="10"/>
      <c r="B970" s="10"/>
      <c r="C970" s="10"/>
      <c r="D970" s="10"/>
      <c r="E970" s="10"/>
      <c r="F970" s="10"/>
      <c r="G970" s="10"/>
      <c r="H970" s="10"/>
      <c r="I970" s="10"/>
      <c r="J970" s="10"/>
      <c r="K970" s="10"/>
      <c r="L970" s="10"/>
      <c r="M970" s="10"/>
      <c r="N970" s="10"/>
      <c r="O970" s="10"/>
      <c r="P970" s="10"/>
      <c r="Q970" s="10"/>
      <c r="R970" s="10"/>
      <c r="S970" s="10"/>
      <c r="T970" s="10"/>
      <c r="U970" s="10"/>
    </row>
    <row r="971" spans="1:21" ht="12.75" x14ac:dyDescent="0.2">
      <c r="A971" s="10"/>
      <c r="B971" s="10"/>
      <c r="C971" s="10"/>
      <c r="D971" s="10"/>
      <c r="E971" s="10"/>
      <c r="F971" s="10"/>
      <c r="G971" s="10"/>
      <c r="H971" s="10"/>
      <c r="I971" s="10"/>
      <c r="J971" s="10"/>
      <c r="K971" s="10"/>
      <c r="L971" s="10"/>
      <c r="M971" s="10"/>
      <c r="N971" s="10"/>
      <c r="O971" s="10"/>
      <c r="P971" s="10"/>
      <c r="Q971" s="10"/>
      <c r="R971" s="10"/>
      <c r="S971" s="10"/>
      <c r="T971" s="10"/>
      <c r="U971" s="10"/>
    </row>
    <row r="972" spans="1:21" ht="12.75" x14ac:dyDescent="0.2">
      <c r="A972" s="10"/>
      <c r="B972" s="10"/>
      <c r="C972" s="10"/>
      <c r="D972" s="10"/>
      <c r="E972" s="10"/>
      <c r="F972" s="10"/>
      <c r="G972" s="10"/>
      <c r="H972" s="10"/>
      <c r="I972" s="10"/>
      <c r="J972" s="10"/>
      <c r="K972" s="10"/>
      <c r="L972" s="10"/>
      <c r="M972" s="10"/>
      <c r="N972" s="10"/>
      <c r="O972" s="10"/>
      <c r="P972" s="10"/>
      <c r="Q972" s="10"/>
      <c r="R972" s="10"/>
      <c r="S972" s="10"/>
      <c r="T972" s="10"/>
      <c r="U972" s="10"/>
    </row>
    <row r="973" spans="1:21" ht="12.75" x14ac:dyDescent="0.2">
      <c r="A973" s="10"/>
      <c r="B973" s="10"/>
      <c r="C973" s="10"/>
      <c r="D973" s="10"/>
      <c r="E973" s="10"/>
      <c r="F973" s="10"/>
      <c r="G973" s="10"/>
      <c r="H973" s="10"/>
      <c r="I973" s="10"/>
      <c r="J973" s="10"/>
      <c r="K973" s="10"/>
      <c r="L973" s="10"/>
      <c r="M973" s="10"/>
      <c r="N973" s="10"/>
      <c r="O973" s="10"/>
      <c r="P973" s="10"/>
      <c r="Q973" s="10"/>
      <c r="R973" s="10"/>
      <c r="S973" s="10"/>
      <c r="T973" s="10"/>
      <c r="U973" s="10"/>
    </row>
    <row r="974" spans="1:21" ht="12.75" x14ac:dyDescent="0.2">
      <c r="A974" s="10"/>
      <c r="B974" s="10"/>
      <c r="C974" s="10"/>
      <c r="D974" s="10"/>
      <c r="E974" s="10"/>
      <c r="F974" s="10"/>
      <c r="G974" s="10"/>
      <c r="H974" s="10"/>
      <c r="I974" s="10"/>
      <c r="J974" s="10"/>
      <c r="K974" s="10"/>
      <c r="L974" s="10"/>
      <c r="M974" s="10"/>
      <c r="N974" s="10"/>
      <c r="O974" s="10"/>
      <c r="P974" s="10"/>
      <c r="Q974" s="10"/>
      <c r="R974" s="10"/>
      <c r="S974" s="10"/>
      <c r="T974" s="10"/>
      <c r="U974" s="10"/>
    </row>
    <row r="975" spans="1:21" ht="12.75" x14ac:dyDescent="0.2">
      <c r="A975" s="10"/>
      <c r="B975" s="10"/>
      <c r="C975" s="10"/>
      <c r="D975" s="10"/>
      <c r="E975" s="10"/>
      <c r="F975" s="10"/>
      <c r="G975" s="10"/>
      <c r="H975" s="10"/>
      <c r="I975" s="10"/>
      <c r="J975" s="10"/>
      <c r="K975" s="10"/>
      <c r="L975" s="10"/>
      <c r="M975" s="10"/>
      <c r="N975" s="10"/>
      <c r="O975" s="10"/>
      <c r="P975" s="10"/>
      <c r="Q975" s="10"/>
      <c r="R975" s="10"/>
      <c r="S975" s="10"/>
      <c r="T975" s="10"/>
      <c r="U975" s="10"/>
    </row>
    <row r="976" spans="1:21" ht="12.75" x14ac:dyDescent="0.2">
      <c r="A976" s="10"/>
      <c r="B976" s="10"/>
      <c r="C976" s="10"/>
      <c r="D976" s="10"/>
      <c r="E976" s="10"/>
      <c r="F976" s="10"/>
      <c r="G976" s="10"/>
      <c r="H976" s="10"/>
      <c r="I976" s="10"/>
      <c r="J976" s="10"/>
      <c r="K976" s="10"/>
      <c r="L976" s="10"/>
      <c r="M976" s="10"/>
      <c r="N976" s="10"/>
      <c r="O976" s="10"/>
      <c r="P976" s="10"/>
      <c r="Q976" s="10"/>
      <c r="R976" s="10"/>
      <c r="S976" s="10"/>
      <c r="T976" s="10"/>
      <c r="U976" s="10"/>
    </row>
    <row r="977" spans="1:21" ht="12.75" x14ac:dyDescent="0.2">
      <c r="A977" s="10"/>
      <c r="B977" s="10"/>
      <c r="C977" s="10"/>
      <c r="D977" s="10"/>
      <c r="E977" s="10"/>
      <c r="F977" s="10"/>
      <c r="G977" s="10"/>
      <c r="H977" s="10"/>
      <c r="I977" s="10"/>
      <c r="J977" s="10"/>
      <c r="K977" s="10"/>
      <c r="L977" s="10"/>
      <c r="M977" s="10"/>
      <c r="N977" s="10"/>
      <c r="O977" s="10"/>
      <c r="P977" s="10"/>
      <c r="Q977" s="10"/>
      <c r="R977" s="10"/>
      <c r="S977" s="10"/>
      <c r="T977" s="10"/>
      <c r="U977" s="10"/>
    </row>
    <row r="978" spans="1:21" ht="12.75" x14ac:dyDescent="0.2">
      <c r="A978" s="10"/>
      <c r="B978" s="10"/>
      <c r="C978" s="10"/>
      <c r="D978" s="10"/>
      <c r="E978" s="10"/>
      <c r="F978" s="10"/>
      <c r="G978" s="10"/>
      <c r="H978" s="10"/>
      <c r="I978" s="10"/>
      <c r="J978" s="10"/>
      <c r="K978" s="10"/>
      <c r="L978" s="10"/>
      <c r="M978" s="10"/>
      <c r="N978" s="10"/>
      <c r="O978" s="10"/>
      <c r="P978" s="10"/>
      <c r="Q978" s="10"/>
      <c r="R978" s="10"/>
      <c r="S978" s="10"/>
      <c r="T978" s="10"/>
      <c r="U978" s="10"/>
    </row>
    <row r="979" spans="1:21" ht="12.75" x14ac:dyDescent="0.2">
      <c r="A979" s="10"/>
      <c r="B979" s="10"/>
      <c r="C979" s="10"/>
      <c r="D979" s="10"/>
      <c r="E979" s="10"/>
      <c r="F979" s="10"/>
      <c r="G979" s="10"/>
      <c r="H979" s="10"/>
      <c r="I979" s="10"/>
      <c r="J979" s="10"/>
      <c r="K979" s="10"/>
      <c r="L979" s="10"/>
      <c r="M979" s="10"/>
      <c r="N979" s="10"/>
      <c r="O979" s="10"/>
      <c r="P979" s="10"/>
      <c r="Q979" s="10"/>
      <c r="R979" s="10"/>
      <c r="S979" s="10"/>
      <c r="T979" s="10"/>
      <c r="U979" s="10"/>
    </row>
    <row r="980" spans="1:21" ht="12.75" x14ac:dyDescent="0.2">
      <c r="A980" s="10"/>
      <c r="B980" s="10"/>
      <c r="C980" s="10"/>
      <c r="D980" s="10"/>
      <c r="E980" s="10"/>
      <c r="F980" s="10"/>
      <c r="G980" s="10"/>
      <c r="H980" s="10"/>
      <c r="I980" s="10"/>
      <c r="J980" s="10"/>
      <c r="K980" s="10"/>
      <c r="L980" s="10"/>
      <c r="M980" s="10"/>
      <c r="N980" s="10"/>
      <c r="O980" s="10"/>
      <c r="P980" s="10"/>
      <c r="Q980" s="10"/>
      <c r="R980" s="10"/>
      <c r="S980" s="10"/>
      <c r="T980" s="10"/>
      <c r="U980" s="10"/>
    </row>
    <row r="981" spans="1:21" ht="12.75" x14ac:dyDescent="0.2">
      <c r="A981" s="10"/>
      <c r="B981" s="10"/>
      <c r="C981" s="10"/>
      <c r="D981" s="10"/>
      <c r="E981" s="10"/>
      <c r="F981" s="10"/>
      <c r="G981" s="10"/>
      <c r="H981" s="10"/>
      <c r="I981" s="10"/>
      <c r="J981" s="10"/>
      <c r="K981" s="10"/>
      <c r="L981" s="10"/>
      <c r="M981" s="10"/>
      <c r="N981" s="10"/>
      <c r="O981" s="10"/>
      <c r="P981" s="10"/>
      <c r="Q981" s="10"/>
      <c r="R981" s="10"/>
      <c r="S981" s="10"/>
      <c r="T981" s="10"/>
      <c r="U981" s="10"/>
    </row>
    <row r="982" spans="1:21" ht="12.75" x14ac:dyDescent="0.2">
      <c r="A982" s="10"/>
      <c r="B982" s="10"/>
      <c r="C982" s="10"/>
      <c r="D982" s="10"/>
      <c r="E982" s="10"/>
      <c r="F982" s="10"/>
      <c r="G982" s="10"/>
      <c r="H982" s="10"/>
      <c r="I982" s="10"/>
      <c r="J982" s="10"/>
      <c r="K982" s="10"/>
      <c r="L982" s="10"/>
      <c r="M982" s="10"/>
      <c r="N982" s="10"/>
      <c r="O982" s="10"/>
      <c r="P982" s="10"/>
      <c r="Q982" s="10"/>
      <c r="R982" s="10"/>
      <c r="S982" s="10"/>
      <c r="T982" s="10"/>
      <c r="U982" s="10"/>
    </row>
    <row r="983" spans="1:21" ht="12.75" x14ac:dyDescent="0.2">
      <c r="A983" s="10"/>
      <c r="B983" s="10"/>
      <c r="C983" s="10"/>
      <c r="D983" s="10"/>
      <c r="E983" s="10"/>
      <c r="F983" s="10"/>
      <c r="G983" s="10"/>
      <c r="H983" s="10"/>
      <c r="I983" s="10"/>
      <c r="J983" s="10"/>
      <c r="K983" s="10"/>
      <c r="L983" s="10"/>
      <c r="M983" s="10"/>
      <c r="N983" s="10"/>
      <c r="O983" s="10"/>
      <c r="P983" s="10"/>
      <c r="Q983" s="10"/>
      <c r="R983" s="10"/>
      <c r="S983" s="10"/>
      <c r="T983" s="10"/>
      <c r="U983" s="10"/>
    </row>
    <row r="984" spans="1:21" ht="12.75" x14ac:dyDescent="0.2">
      <c r="A984" s="10"/>
      <c r="B984" s="10"/>
      <c r="C984" s="10"/>
      <c r="D984" s="10"/>
      <c r="E984" s="10"/>
      <c r="F984" s="10"/>
      <c r="G984" s="10"/>
      <c r="H984" s="10"/>
      <c r="I984" s="10"/>
      <c r="J984" s="10"/>
      <c r="K984" s="10"/>
      <c r="L984" s="10"/>
      <c r="M984" s="10"/>
      <c r="N984" s="10"/>
      <c r="O984" s="10"/>
      <c r="P984" s="10"/>
      <c r="Q984" s="10"/>
      <c r="R984" s="10"/>
      <c r="S984" s="10"/>
      <c r="T984" s="10"/>
      <c r="U984" s="10"/>
    </row>
    <row r="985" spans="1:21" ht="12.75" x14ac:dyDescent="0.2">
      <c r="A985" s="10"/>
      <c r="B985" s="10"/>
      <c r="C985" s="10"/>
      <c r="D985" s="10"/>
      <c r="E985" s="10"/>
      <c r="F985" s="10"/>
      <c r="G985" s="10"/>
      <c r="H985" s="10"/>
      <c r="I985" s="10"/>
      <c r="J985" s="10"/>
      <c r="K985" s="10"/>
      <c r="L985" s="10"/>
      <c r="M985" s="10"/>
      <c r="N985" s="10"/>
      <c r="O985" s="10"/>
      <c r="P985" s="10"/>
      <c r="Q985" s="10"/>
      <c r="R985" s="10"/>
      <c r="S985" s="10"/>
      <c r="T985" s="10"/>
      <c r="U985" s="10"/>
    </row>
    <row r="986" spans="1:21" ht="12.75" x14ac:dyDescent="0.2">
      <c r="A986" s="10"/>
      <c r="B986" s="10"/>
      <c r="C986" s="10"/>
      <c r="D986" s="10"/>
      <c r="E986" s="10"/>
      <c r="F986" s="10"/>
      <c r="G986" s="10"/>
      <c r="H986" s="10"/>
      <c r="I986" s="10"/>
      <c r="J986" s="10"/>
      <c r="K986" s="10"/>
      <c r="L986" s="10"/>
      <c r="M986" s="10"/>
      <c r="N986" s="10"/>
      <c r="O986" s="10"/>
      <c r="P986" s="10"/>
      <c r="Q986" s="10"/>
      <c r="R986" s="10"/>
      <c r="S986" s="10"/>
      <c r="T986" s="10"/>
      <c r="U986" s="10"/>
    </row>
    <row r="987" spans="1:21" ht="12.75" x14ac:dyDescent="0.2">
      <c r="A987" s="10"/>
      <c r="B987" s="10"/>
      <c r="C987" s="10"/>
      <c r="D987" s="10"/>
      <c r="E987" s="10"/>
      <c r="F987" s="10"/>
      <c r="G987" s="10"/>
      <c r="H987" s="10"/>
      <c r="I987" s="10"/>
      <c r="J987" s="10"/>
      <c r="K987" s="10"/>
      <c r="L987" s="10"/>
      <c r="M987" s="10"/>
      <c r="N987" s="10"/>
      <c r="O987" s="10"/>
      <c r="P987" s="10"/>
      <c r="Q987" s="10"/>
      <c r="R987" s="10"/>
      <c r="S987" s="10"/>
      <c r="T987" s="10"/>
      <c r="U987" s="10"/>
    </row>
    <row r="988" spans="1:21" ht="12.75" x14ac:dyDescent="0.2">
      <c r="A988" s="10"/>
      <c r="B988" s="10"/>
      <c r="C988" s="10"/>
      <c r="D988" s="10"/>
      <c r="E988" s="10"/>
      <c r="F988" s="10"/>
      <c r="G988" s="10"/>
      <c r="H988" s="10"/>
      <c r="I988" s="10"/>
      <c r="J988" s="10"/>
      <c r="K988" s="10"/>
      <c r="L988" s="10"/>
      <c r="M988" s="10"/>
      <c r="N988" s="10"/>
      <c r="O988" s="10"/>
      <c r="P988" s="10"/>
      <c r="Q988" s="10"/>
      <c r="R988" s="10"/>
      <c r="S988" s="10"/>
      <c r="T988" s="10"/>
      <c r="U988" s="10"/>
    </row>
    <row r="989" spans="1:21" ht="12.75" x14ac:dyDescent="0.2">
      <c r="A989" s="10"/>
      <c r="B989" s="10"/>
      <c r="C989" s="10"/>
      <c r="D989" s="10"/>
      <c r="E989" s="10"/>
      <c r="F989" s="10"/>
      <c r="G989" s="10"/>
      <c r="H989" s="10"/>
      <c r="I989" s="10"/>
      <c r="J989" s="10"/>
      <c r="K989" s="10"/>
      <c r="L989" s="10"/>
      <c r="M989" s="10"/>
      <c r="N989" s="10"/>
      <c r="O989" s="10"/>
      <c r="P989" s="10"/>
      <c r="Q989" s="10"/>
      <c r="R989" s="10"/>
      <c r="S989" s="10"/>
      <c r="T989" s="10"/>
      <c r="U989" s="10"/>
    </row>
    <row r="990" spans="1:21" ht="12.75" x14ac:dyDescent="0.2">
      <c r="A990" s="10"/>
      <c r="B990" s="10"/>
      <c r="C990" s="10"/>
      <c r="D990" s="10"/>
      <c r="E990" s="10"/>
      <c r="F990" s="10"/>
      <c r="G990" s="10"/>
      <c r="H990" s="10"/>
      <c r="I990" s="10"/>
      <c r="J990" s="10"/>
      <c r="K990" s="10"/>
      <c r="L990" s="10"/>
      <c r="M990" s="10"/>
      <c r="N990" s="10"/>
      <c r="O990" s="10"/>
      <c r="P990" s="10"/>
      <c r="Q990" s="10"/>
      <c r="R990" s="10"/>
      <c r="S990" s="10"/>
      <c r="T990" s="10"/>
      <c r="U990" s="10"/>
    </row>
    <row r="991" spans="1:21" ht="12.75" x14ac:dyDescent="0.2">
      <c r="A991" s="10"/>
      <c r="B991" s="10"/>
      <c r="C991" s="10"/>
      <c r="D991" s="10"/>
      <c r="E991" s="10"/>
      <c r="F991" s="10"/>
      <c r="G991" s="10"/>
      <c r="H991" s="10"/>
      <c r="I991" s="10"/>
      <c r="J991" s="10"/>
      <c r="K991" s="10"/>
      <c r="L991" s="10"/>
      <c r="M991" s="10"/>
      <c r="N991" s="10"/>
      <c r="O991" s="10"/>
      <c r="P991" s="10"/>
      <c r="Q991" s="10"/>
      <c r="R991" s="10"/>
      <c r="S991" s="10"/>
      <c r="T991" s="10"/>
      <c r="U991" s="10"/>
    </row>
    <row r="992" spans="1:21" ht="12.75" x14ac:dyDescent="0.2">
      <c r="A992" s="10"/>
      <c r="B992" s="10"/>
      <c r="C992" s="10"/>
      <c r="D992" s="10"/>
      <c r="E992" s="10"/>
      <c r="F992" s="10"/>
      <c r="G992" s="10"/>
      <c r="H992" s="10"/>
      <c r="I992" s="10"/>
      <c r="J992" s="10"/>
      <c r="K992" s="10"/>
      <c r="L992" s="10"/>
      <c r="M992" s="10"/>
      <c r="N992" s="10"/>
      <c r="O992" s="10"/>
      <c r="P992" s="10"/>
      <c r="Q992" s="10"/>
      <c r="R992" s="10"/>
      <c r="S992" s="10"/>
      <c r="T992" s="10"/>
      <c r="U992" s="10"/>
    </row>
    <row r="993" spans="1:21" ht="12.75" x14ac:dyDescent="0.2">
      <c r="A993" s="10"/>
      <c r="B993" s="10"/>
      <c r="C993" s="10"/>
      <c r="D993" s="10"/>
      <c r="E993" s="10"/>
      <c r="F993" s="10"/>
      <c r="G993" s="10"/>
      <c r="H993" s="10"/>
      <c r="I993" s="10"/>
      <c r="J993" s="10"/>
      <c r="K993" s="10"/>
      <c r="L993" s="10"/>
      <c r="M993" s="10"/>
      <c r="N993" s="10"/>
      <c r="O993" s="10"/>
      <c r="P993" s="10"/>
      <c r="Q993" s="10"/>
      <c r="R993" s="10"/>
      <c r="S993" s="10"/>
      <c r="T993" s="10"/>
      <c r="U993" s="10"/>
    </row>
    <row r="994" spans="1:21" ht="12.75" x14ac:dyDescent="0.2">
      <c r="A994" s="10"/>
      <c r="B994" s="10"/>
      <c r="C994" s="10"/>
      <c r="D994" s="10"/>
      <c r="E994" s="10"/>
      <c r="F994" s="10"/>
      <c r="G994" s="10"/>
      <c r="H994" s="10"/>
      <c r="I994" s="10"/>
      <c r="J994" s="10"/>
      <c r="K994" s="10"/>
      <c r="L994" s="10"/>
      <c r="M994" s="10"/>
      <c r="N994" s="10"/>
      <c r="O994" s="10"/>
      <c r="P994" s="10"/>
      <c r="Q994" s="10"/>
      <c r="R994" s="10"/>
      <c r="S994" s="10"/>
      <c r="T994" s="10"/>
      <c r="U994" s="10"/>
    </row>
    <row r="995" spans="1:21" ht="12.75" x14ac:dyDescent="0.2">
      <c r="A995" s="10"/>
      <c r="B995" s="10"/>
      <c r="C995" s="10"/>
      <c r="D995" s="10"/>
      <c r="E995" s="10"/>
      <c r="F995" s="10"/>
      <c r="G995" s="10"/>
      <c r="H995" s="10"/>
      <c r="I995" s="10"/>
      <c r="J995" s="10"/>
      <c r="K995" s="10"/>
      <c r="L995" s="10"/>
      <c r="M995" s="10"/>
      <c r="N995" s="10"/>
      <c r="O995" s="10"/>
      <c r="P995" s="10"/>
      <c r="Q995" s="10"/>
      <c r="R995" s="10"/>
      <c r="S995" s="10"/>
      <c r="T995" s="10"/>
      <c r="U995" s="10"/>
    </row>
  </sheetData>
  <autoFilter ref="A4:U283" xr:uid="{00000000-0009-0000-0000-000001000000}"/>
  <mergeCells count="6">
    <mergeCell ref="R3:S3"/>
    <mergeCell ref="E1:H2"/>
    <mergeCell ref="F3:H3"/>
    <mergeCell ref="I3:K3"/>
    <mergeCell ref="L3:N3"/>
    <mergeCell ref="O3:Q3"/>
  </mergeCells>
  <hyperlinks>
    <hyperlink ref="M111" r:id="rId1" display="https://drive.google.com/drive/folders/1lqc4si5fUGO6sKTCjL-UBTP5Xe4wcTMl?usp=sharing" xr:uid="{00000000-0004-0000-0100-000000000000}"/>
    <hyperlink ref="M112" r:id="rId2" display="https://drive.google.com/drive/folders/1aerUG0u_QHWrW5YxAQ2r64CRftuwRN4p?usp=sharing" xr:uid="{00000000-0004-0000-0100-000001000000}"/>
    <hyperlink ref="M114" r:id="rId3" display="https://docs.google.com/spreadsheets/d/1bQ90lIRFSMp58bPImW7dsEfp46MlT3_v/edit?usp=sharing&amp;ouid=109814808864588808283&amp;rtpof=true&amp;sd=true" xr:uid="{00000000-0004-0000-0100-000002000000}"/>
    <hyperlink ref="M115" r:id="rId4" display="https://docs.google.com/spreadsheets/d/1bQ90lIRFSMp58bPImW7dsEfp46MlT3_v/edit?usp=sharing&amp;ouid=109814808864588808283&amp;rtpof=true&amp;sd=true" xr:uid="{00000000-0004-0000-0100-000003000000}"/>
    <hyperlink ref="M117" r:id="rId5" display="https://drive.google.com/drive/folders/1CWeI16MENTkuNd5DBnV9M3-2m-i8nptg?usp=sharing" xr:uid="{00000000-0004-0000-0100-000004000000}"/>
    <hyperlink ref="S117" r:id="rId6" display="https://drive.google.com/drive/folders/1_RZIIgnWz0i_7jcudvrF2PVdPz-nh65v?usp=share_link" xr:uid="{00000000-0004-0000-0100-000005000000}"/>
    <hyperlink ref="M118" r:id="rId7" display="https://drive.google.com/drive/folders/1lqc4si5fUGO6sKTCjL-UBTP5Xe4wcTMl?usp=sharing" xr:uid="{00000000-0004-0000-0100-000006000000}"/>
    <hyperlink ref="S118" r:id="rId8" display="https://drive.google.com/drive/folders/1fKr4DsAuA5TNFDFw04xes09eDYtN37SI?usp=share_link" xr:uid="{00000000-0004-0000-0100-000007000000}"/>
    <hyperlink ref="M180" r:id="rId9" display="https://www.pereira.gov.co/documentos/43/normatividad-de-orden-territorial/" xr:uid="{00000000-0004-0000-0100-000008000000}"/>
    <hyperlink ref="P258" r:id="rId10" display="https://drive.google.com/file/d/14FmxacefvD0IYgmlVQiickvrTeQGGDUi/view?usp=sharing" xr:uid="{00000000-0004-0000-0100-000009000000}"/>
    <hyperlink ref="J279" r:id="rId11" display="https://docs.google.com/document/d/1RR76Z_d8brAHp96-MpatCkGK0o0MApDj/edit?usp=sharing&amp;ouid=102456040259753719878&amp;rtpof=true&amp;sd=true" xr:uid="{00000000-0004-0000-0100-00000A000000}"/>
    <hyperlink ref="M279" r:id="rId12" display="https://docs.google.com/document/d/1RR76Z_d8brAHp96-MpatCkGK0o0MApDj/edit?usp=sharing&amp;ouid=102456040259753719878&amp;rtpof=true&amp;sd=true" xr:uid="{00000000-0004-0000-0100-00000B000000}"/>
    <hyperlink ref="P279" r:id="rId13" display="https://docs.google.com/document/d/1RR76Z_d8brAHp96-MpatCkGK0o0MApDj/edit?usp=sharing&amp;ouid=102456040259753719878&amp;rtpof=true&amp;sd=true" xr:uid="{00000000-0004-0000-0100-00000C000000}"/>
    <hyperlink ref="S279" r:id="rId14" display="https://docs.google.com/document/d/1RR76Z_d8brAHp96-MpatCkGK0o0MApDj/edit?usp=sharing&amp;ouid=102456040259753719878&amp;rtpof=true&amp;sd=true" xr:uid="{00000000-0004-0000-0100-00000D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JHON BEDOYA</cp:lastModifiedBy>
  <dcterms:modified xsi:type="dcterms:W3CDTF">2023-03-30T13:05:41Z</dcterms:modified>
</cp:coreProperties>
</file>